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4 Annual Update\Transco_OKTCo_SWTCo\Filed Documents\"/>
    </mc:Choice>
  </mc:AlternateContent>
  <xr:revisionPtr revIDLastSave="0" documentId="14_{E533AD88-4014-456F-9731-86F4F7E83C06}" xr6:coauthVersionLast="47" xr6:coauthVersionMax="47" xr10:uidLastSave="{00000000-0000-0000-0000-000000000000}"/>
  <bookViews>
    <workbookView xWindow="52680" yWindow="-120" windowWidth="24240" windowHeight="1302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Instructions!$A$1:$Q$17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5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138" i="18"/>
  <c r="H106" i="18"/>
  <c r="H74" i="18"/>
  <c r="H42" i="18"/>
  <c r="H209" i="18"/>
  <c r="H122" i="18" l="1"/>
  <c r="H46" i="18"/>
  <c r="H78" i="18"/>
  <c r="H110" i="18"/>
  <c r="H142" i="18"/>
  <c r="H26" i="18"/>
  <c r="H58" i="18"/>
  <c r="H90" i="18"/>
  <c r="H30" i="18"/>
  <c r="H62" i="18"/>
  <c r="H94" i="18"/>
  <c r="H126" i="18"/>
  <c r="H34" i="18"/>
  <c r="H50" i="18"/>
  <c r="H66" i="18"/>
  <c r="H82" i="18"/>
  <c r="H98" i="18"/>
  <c r="H114" i="18"/>
  <c r="H130" i="18"/>
  <c r="H22" i="18"/>
  <c r="H38" i="18"/>
  <c r="H54" i="18"/>
  <c r="H70" i="18"/>
  <c r="H86" i="18"/>
  <c r="H102" i="18"/>
  <c r="H118" i="18"/>
  <c r="H134" i="18"/>
  <c r="H39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146" i="18"/>
  <c r="H154" i="18"/>
  <c r="H162" i="18"/>
  <c r="H170" i="18"/>
  <c r="H178" i="18"/>
  <c r="H186" i="18"/>
  <c r="H194" i="18"/>
  <c r="H202" i="18"/>
  <c r="H206" i="18"/>
  <c r="H27" i="18"/>
  <c r="H35" i="18"/>
  <c r="H47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150" i="18"/>
  <c r="H158" i="18"/>
  <c r="H166" i="18"/>
  <c r="H174" i="18"/>
  <c r="H182" i="18"/>
  <c r="H190" i="18"/>
  <c r="H198" i="18"/>
  <c r="H210" i="18"/>
  <c r="H23" i="18"/>
  <c r="H31" i="18"/>
  <c r="H43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O191" i="18" l="1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P38" i="18" s="1"/>
  <c r="O209" i="18"/>
  <c r="O181" i="18"/>
  <c r="P181" i="18" s="1"/>
  <c r="O177" i="18"/>
  <c r="O145" i="18"/>
  <c r="O121" i="18"/>
  <c r="O97" i="18"/>
  <c r="O81" i="18"/>
  <c r="P81" i="18" s="1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91" i="18"/>
  <c r="P121" i="18"/>
  <c r="P98" i="18"/>
  <c r="P97" i="18"/>
  <c r="P7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C73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53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35" i="18"/>
  <c r="D37" i="18"/>
  <c r="D40" i="18"/>
  <c r="D52" i="18" s="1"/>
  <c r="D33" i="18"/>
  <c r="D57" i="18" s="1"/>
  <c r="D69" i="18" s="1"/>
  <c r="D34" i="18"/>
  <c r="D46" i="18" s="1"/>
  <c r="C54" i="18"/>
  <c r="C66" i="18"/>
  <c r="C90" i="18" s="1"/>
  <c r="C102" i="18" s="1"/>
  <c r="C114" i="18" s="1"/>
  <c r="C126" i="18" s="1"/>
  <c r="C138" i="18" s="1"/>
  <c r="C150" i="18" s="1"/>
  <c r="C162" i="18" s="1"/>
  <c r="D53" i="18"/>
  <c r="C85" i="18"/>
  <c r="C97" i="18" s="1"/>
  <c r="C109" i="18" s="1"/>
  <c r="C121" i="18" s="1"/>
  <c r="C133" i="18" s="1"/>
  <c r="C145" i="18" s="1"/>
  <c r="C157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P78" i="18" s="1"/>
  <c r="O30" i="18"/>
  <c r="O173" i="18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P86" i="18" s="1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P65" i="18"/>
  <c r="O198" i="18"/>
  <c r="P198" i="18"/>
  <c r="O147" i="18"/>
  <c r="O51" i="18"/>
  <c r="O207" i="18"/>
  <c r="O171" i="18"/>
  <c r="P171" i="18" s="1"/>
  <c r="O211" i="18"/>
  <c r="P135" i="18"/>
  <c r="O58" i="18"/>
  <c r="O114" i="18"/>
  <c r="O166" i="18"/>
  <c r="P166" i="18" s="1"/>
  <c r="O83" i="18"/>
  <c r="P83" i="18" s="1"/>
  <c r="O203" i="18"/>
  <c r="P203" i="18" s="1"/>
  <c r="P147" i="18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 s="1"/>
  <c r="O87" i="18"/>
  <c r="P87" i="18" s="1"/>
  <c r="O64" i="18"/>
  <c r="P64" i="18" s="1"/>
  <c r="P177" i="18"/>
  <c r="P208" i="18"/>
  <c r="P57" i="18"/>
  <c r="P165" i="18"/>
  <c r="P173" i="18"/>
  <c r="E21" i="29"/>
  <c r="D29" i="29"/>
  <c r="E26" i="29"/>
  <c r="E35" i="29"/>
  <c r="H32" i="29"/>
  <c r="D31" i="29"/>
  <c r="G28" i="29"/>
  <c r="G36" i="29"/>
  <c r="H29" i="29"/>
  <c r="H26" i="29"/>
  <c r="G35" i="29"/>
  <c r="G26" i="29"/>
  <c r="E32" i="29"/>
  <c r="D27" i="29"/>
  <c r="D25" i="29"/>
  <c r="H35" i="29"/>
  <c r="D35" i="29"/>
  <c r="H33" i="29"/>
  <c r="G33" i="29"/>
  <c r="D23" i="29"/>
  <c r="E25" i="29"/>
  <c r="D28" i="29"/>
  <c r="E37" i="29"/>
  <c r="E22" i="29"/>
  <c r="H21" i="29"/>
  <c r="G29" i="29"/>
  <c r="G30" i="29"/>
  <c r="E31" i="29"/>
  <c r="D37" i="29"/>
  <c r="D32" i="29"/>
  <c r="D24" i="29"/>
  <c r="G31" i="29"/>
  <c r="D33" i="29"/>
  <c r="H23" i="29"/>
  <c r="H36" i="29"/>
  <c r="D21" i="29"/>
  <c r="E28" i="29"/>
  <c r="E23" i="29"/>
  <c r="G22" i="29"/>
  <c r="E33" i="29"/>
  <c r="G27" i="29"/>
  <c r="G25" i="29"/>
  <c r="D36" i="29"/>
  <c r="H30" i="29"/>
  <c r="D30" i="29"/>
  <c r="H31" i="29"/>
  <c r="E24" i="29"/>
  <c r="G24" i="29"/>
  <c r="H22" i="29"/>
  <c r="G23" i="29"/>
  <c r="E30" i="29"/>
  <c r="E36" i="29"/>
  <c r="H27" i="29"/>
  <c r="E29" i="29"/>
  <c r="D26" i="29"/>
  <c r="H25" i="29"/>
  <c r="H24" i="29"/>
  <c r="H28" i="29"/>
  <c r="G37" i="29"/>
  <c r="D22" i="29"/>
  <c r="G32" i="29"/>
  <c r="G21" i="29"/>
  <c r="E27" i="29"/>
  <c r="H37" i="29"/>
  <c r="C72" i="18" l="1"/>
  <c r="C71" i="18"/>
  <c r="C49" i="18"/>
  <c r="C58" i="18"/>
  <c r="C82" i="18" s="1"/>
  <c r="C94" i="18" s="1"/>
  <c r="C106" i="18" s="1"/>
  <c r="C118" i="18" s="1"/>
  <c r="C130" i="18" s="1"/>
  <c r="C142" i="18" s="1"/>
  <c r="C154" i="18" s="1"/>
  <c r="D45" i="18"/>
  <c r="C63" i="18"/>
  <c r="C78" i="18"/>
  <c r="C65" i="18"/>
  <c r="C89" i="18" s="1"/>
  <c r="C101" i="18" s="1"/>
  <c r="C113" i="18" s="1"/>
  <c r="C125" i="18" s="1"/>
  <c r="C137" i="18" s="1"/>
  <c r="C149" i="18" s="1"/>
  <c r="C161" i="18" s="1"/>
  <c r="C185" i="18" s="1"/>
  <c r="C197" i="18" s="1"/>
  <c r="C209" i="18" s="1"/>
  <c r="C57" i="18"/>
  <c r="C81" i="18" s="1"/>
  <c r="C93" i="18" s="1"/>
  <c r="C105" i="18" s="1"/>
  <c r="C117" i="18" s="1"/>
  <c r="C129" i="18" s="1"/>
  <c r="C141" i="18" s="1"/>
  <c r="C153" i="18" s="1"/>
  <c r="C165" i="18" s="1"/>
  <c r="D55" i="18"/>
  <c r="D63" i="18"/>
  <c r="D75" i="18" s="1"/>
  <c r="D62" i="18"/>
  <c r="D74" i="18" s="1"/>
  <c r="D64" i="18"/>
  <c r="D76" i="18" s="1"/>
  <c r="D54" i="18"/>
  <c r="D48" i="18"/>
  <c r="D81" i="18"/>
  <c r="D93" i="18" s="1"/>
  <c r="D105" i="18" s="1"/>
  <c r="D117" i="18" s="1"/>
  <c r="D129" i="18" s="1"/>
  <c r="D141" i="18" s="1"/>
  <c r="D153" i="18" s="1"/>
  <c r="D165" i="18" s="1"/>
  <c r="D77" i="18"/>
  <c r="P56" i="18"/>
  <c r="E10" i="29"/>
  <c r="F10" i="29"/>
  <c r="E20" i="29"/>
  <c r="D20" i="29"/>
  <c r="C173" i="18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58" i="18"/>
  <c r="C48" i="18"/>
  <c r="D72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F31" i="29"/>
  <c r="I31" i="29" s="1"/>
  <c r="F22" i="29"/>
  <c r="I22" i="29" s="1"/>
  <c r="F23" i="29"/>
  <c r="I23" i="29" s="1"/>
  <c r="F36" i="29"/>
  <c r="I36" i="29" s="1"/>
  <c r="G38" i="29"/>
  <c r="F25" i="29"/>
  <c r="I25" i="29" s="1"/>
  <c r="F30" i="29"/>
  <c r="I30" i="29" s="1"/>
  <c r="F27" i="29"/>
  <c r="I27" i="29" s="1"/>
  <c r="F21" i="29"/>
  <c r="D34" i="29"/>
  <c r="D38" i="29"/>
  <c r="F35" i="29"/>
  <c r="F33" i="29"/>
  <c r="I33" i="29" s="1"/>
  <c r="F32" i="29"/>
  <c r="I32" i="29" s="1"/>
  <c r="H38" i="29"/>
  <c r="F37" i="29"/>
  <c r="I37" i="29" s="1"/>
  <c r="E34" i="29"/>
  <c r="F24" i="29"/>
  <c r="I24" i="29" s="1"/>
  <c r="H34" i="29"/>
  <c r="H39" i="29" s="1"/>
  <c r="F28" i="29"/>
  <c r="I28" i="29" s="1"/>
  <c r="F26" i="29"/>
  <c r="I26" i="29" s="1"/>
  <c r="C181" i="18"/>
  <c r="C193" i="18" s="1"/>
  <c r="C205" i="18" s="1"/>
  <c r="C169" i="18"/>
  <c r="C167" i="18"/>
  <c r="C179" i="18"/>
  <c r="C191" i="18" s="1"/>
  <c r="C203" i="18" s="1"/>
  <c r="D168" i="18"/>
  <c r="D180" i="18"/>
  <c r="D192" i="18" s="1"/>
  <c r="D204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C75" i="18"/>
  <c r="D173" i="18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C52" i="18"/>
  <c r="C64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32" i="18"/>
  <c r="P155" i="18"/>
  <c r="P178" i="18"/>
  <c r="P25" i="18"/>
  <c r="P49" i="18"/>
  <c r="P73" i="18"/>
  <c r="D175" i="18" l="1"/>
  <c r="C77" i="18"/>
  <c r="C70" i="18"/>
  <c r="D87" i="18"/>
  <c r="D99" i="18" s="1"/>
  <c r="D111" i="18" s="1"/>
  <c r="D123" i="18" s="1"/>
  <c r="D135" i="18" s="1"/>
  <c r="D147" i="18" s="1"/>
  <c r="D159" i="18" s="1"/>
  <c r="D171" i="18" s="1"/>
  <c r="D88" i="18"/>
  <c r="D100" i="18" s="1"/>
  <c r="D112" i="18" s="1"/>
  <c r="D124" i="18" s="1"/>
  <c r="D136" i="18" s="1"/>
  <c r="D148" i="18" s="1"/>
  <c r="D160" i="18" s="1"/>
  <c r="D172" i="18" s="1"/>
  <c r="D86" i="18"/>
  <c r="D98" i="18" s="1"/>
  <c r="D110" i="18" s="1"/>
  <c r="D122" i="18" s="1"/>
  <c r="D134" i="18" s="1"/>
  <c r="D146" i="18" s="1"/>
  <c r="D158" i="18" s="1"/>
  <c r="D182" i="18" s="1"/>
  <c r="D194" i="18" s="1"/>
  <c r="D206" i="18" s="1"/>
  <c r="C69" i="18"/>
  <c r="C177" i="18"/>
  <c r="C189" i="18" s="1"/>
  <c r="C201" i="18" s="1"/>
  <c r="D177" i="18"/>
  <c r="D189" i="18" s="1"/>
  <c r="D201" i="18" s="1"/>
  <c r="E39" i="29"/>
  <c r="O13" i="18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D184" i="18" l="1"/>
  <c r="D196" i="18" s="1"/>
  <c r="D208" i="18" s="1"/>
  <c r="D183" i="18"/>
  <c r="D195" i="18" s="1"/>
  <c r="D207" i="18" s="1"/>
  <c r="D170" i="18"/>
  <c r="F39" i="29"/>
  <c r="D178" i="18"/>
  <c r="D190" i="18" s="1"/>
  <c r="D202" i="18" s="1"/>
  <c r="D166" i="18"/>
  <c r="C172" i="18"/>
  <c r="C184" i="18"/>
  <c r="C196" i="18" s="1"/>
  <c r="C208" i="18" s="1"/>
  <c r="I38" i="29"/>
  <c r="C170" i="18"/>
  <c r="C182" i="18"/>
  <c r="C194" i="18" s="1"/>
  <c r="C206" i="18" s="1"/>
  <c r="I34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I39" i="29" l="1"/>
  <c r="E11" i="29" l="1"/>
  <c r="K94" i="18" l="1"/>
  <c r="K144" i="18"/>
  <c r="K31" i="18"/>
  <c r="K148" i="18"/>
  <c r="K110" i="18"/>
  <c r="K155" i="18"/>
  <c r="K120" i="18"/>
  <c r="K41" i="18"/>
  <c r="K90" i="18"/>
  <c r="K83" i="18"/>
  <c r="K157" i="18"/>
  <c r="K112" i="18"/>
  <c r="K87" i="18"/>
  <c r="K57" i="18"/>
  <c r="K30" i="18"/>
  <c r="K104" i="18"/>
  <c r="K162" i="18"/>
  <c r="K21" i="18"/>
  <c r="K49" i="18"/>
  <c r="K179" i="18"/>
  <c r="K199" i="18"/>
  <c r="K208" i="18"/>
  <c r="K125" i="18"/>
  <c r="K152" i="18"/>
  <c r="K154" i="18"/>
  <c r="K55" i="18"/>
  <c r="K47" i="18"/>
  <c r="K129" i="18"/>
  <c r="K153" i="18"/>
  <c r="K74" i="18"/>
  <c r="K177" i="18"/>
  <c r="K184" i="18"/>
  <c r="K209" i="18"/>
  <c r="K42" i="18"/>
  <c r="K174" i="18"/>
  <c r="K186" i="18"/>
  <c r="K170" i="18"/>
  <c r="K158" i="18"/>
  <c r="K145" i="18"/>
  <c r="K205" i="18"/>
  <c r="K139" i="18"/>
  <c r="K27" i="18"/>
  <c r="K85" i="18"/>
  <c r="K137" i="18"/>
  <c r="K43" i="18"/>
  <c r="K165" i="18"/>
  <c r="K84" i="18"/>
  <c r="K25" i="18"/>
  <c r="K207" i="18"/>
  <c r="K69" i="18"/>
  <c r="K91" i="18"/>
  <c r="K192" i="18"/>
  <c r="K119" i="18"/>
  <c r="K122" i="18"/>
  <c r="K23" i="18"/>
  <c r="K77" i="18"/>
  <c r="K48" i="18"/>
  <c r="K39" i="18"/>
  <c r="K178" i="18"/>
  <c r="K45" i="18"/>
  <c r="K175" i="18"/>
  <c r="K126" i="18"/>
  <c r="K100" i="18"/>
  <c r="K52" i="18"/>
  <c r="K73" i="18"/>
  <c r="K28" i="18"/>
  <c r="K80" i="18"/>
  <c r="K203" i="18"/>
  <c r="K181" i="18"/>
  <c r="K130" i="18"/>
  <c r="K62" i="18"/>
  <c r="K34" i="18"/>
  <c r="K40" i="18"/>
  <c r="K206" i="18"/>
  <c r="K33" i="18"/>
  <c r="K20" i="18"/>
  <c r="K81" i="18"/>
  <c r="K92" i="18"/>
  <c r="K189" i="18"/>
  <c r="K75" i="18"/>
  <c r="K60" i="18"/>
  <c r="K151" i="18"/>
  <c r="K65" i="18"/>
  <c r="K194" i="18"/>
  <c r="K160" i="18"/>
  <c r="K99" i="18"/>
  <c r="K118" i="18"/>
  <c r="K136" i="18"/>
  <c r="K134" i="18"/>
  <c r="K124" i="18"/>
  <c r="K173" i="18"/>
  <c r="K59" i="18"/>
  <c r="K68" i="18"/>
  <c r="K95" i="18"/>
  <c r="K97" i="18"/>
  <c r="K117" i="18"/>
  <c r="K24" i="18"/>
  <c r="K197" i="18"/>
  <c r="K191" i="18"/>
  <c r="K64" i="18"/>
  <c r="K121" i="18"/>
  <c r="K26" i="18"/>
  <c r="K56" i="18"/>
  <c r="K71" i="18"/>
  <c r="K146" i="18"/>
  <c r="K180" i="18"/>
  <c r="K159" i="18"/>
  <c r="K185" i="18"/>
  <c r="K98" i="18"/>
  <c r="K172" i="18"/>
  <c r="K169" i="18"/>
  <c r="K58" i="18"/>
  <c r="K44" i="18"/>
  <c r="K102" i="18"/>
  <c r="K66" i="18"/>
  <c r="K127" i="18"/>
  <c r="K67" i="18"/>
  <c r="K63" i="18"/>
  <c r="K142" i="18"/>
  <c r="K38" i="18"/>
  <c r="K61" i="18"/>
  <c r="K156" i="18"/>
  <c r="K141" i="18"/>
  <c r="K109" i="18"/>
  <c r="K210" i="18"/>
  <c r="K143" i="18"/>
  <c r="K88" i="18"/>
  <c r="K35" i="18"/>
  <c r="K128" i="18"/>
  <c r="K164" i="18"/>
  <c r="K201" i="18"/>
  <c r="K106" i="18"/>
  <c r="K96" i="18"/>
  <c r="K161" i="18"/>
  <c r="K149" i="18"/>
  <c r="K36" i="18"/>
  <c r="K133" i="18"/>
  <c r="K187" i="18"/>
  <c r="K46" i="18"/>
  <c r="K211" i="18"/>
  <c r="K168" i="18"/>
  <c r="K163" i="18"/>
  <c r="K114" i="18"/>
  <c r="K204" i="18"/>
  <c r="K171" i="18"/>
  <c r="K200" i="18"/>
  <c r="K188" i="18"/>
  <c r="K108" i="18"/>
  <c r="K202" i="18"/>
  <c r="K70" i="18"/>
  <c r="K116" i="18"/>
  <c r="K131" i="18"/>
  <c r="K115" i="18"/>
  <c r="K22" i="18"/>
  <c r="K140" i="18"/>
  <c r="K111" i="18"/>
  <c r="K105" i="18"/>
  <c r="K50" i="18"/>
  <c r="K132" i="18"/>
  <c r="K190" i="18"/>
  <c r="K93" i="18"/>
  <c r="K107" i="18"/>
  <c r="K113" i="18"/>
  <c r="E13" i="29"/>
  <c r="K53" i="18"/>
  <c r="K150" i="18"/>
  <c r="K78" i="18"/>
  <c r="K29" i="18"/>
  <c r="K195" i="18"/>
  <c r="K176" i="18"/>
  <c r="K32" i="18"/>
  <c r="K167" i="18"/>
  <c r="K72" i="18"/>
  <c r="K135" i="18"/>
  <c r="K37" i="18"/>
  <c r="K147" i="18"/>
  <c r="K138" i="18"/>
  <c r="K51" i="18"/>
  <c r="K123" i="18"/>
  <c r="K89" i="18"/>
  <c r="K86" i="18"/>
  <c r="K54" i="18"/>
  <c r="K103" i="18"/>
  <c r="K82" i="18"/>
  <c r="K183" i="18"/>
  <c r="K166" i="18"/>
  <c r="K101" i="18"/>
  <c r="K79" i="18"/>
  <c r="K196" i="18"/>
  <c r="K193" i="18"/>
  <c r="K198" i="18"/>
  <c r="K76" i="18"/>
  <c r="K182" i="18"/>
  <c r="K14" i="18" l="1"/>
  <c r="K212" i="18"/>
  <c r="K13" i="18"/>
  <c r="F12" i="29" l="1"/>
  <c r="I81" i="18" l="1"/>
  <c r="J81" i="18" s="1"/>
  <c r="L81" i="18" s="1"/>
  <c r="I97" i="18"/>
  <c r="J97" i="18" s="1"/>
  <c r="L97" i="18" s="1"/>
  <c r="I124" i="18"/>
  <c r="J124" i="18" s="1"/>
  <c r="L124" i="18" s="1"/>
  <c r="I181" i="18"/>
  <c r="J181" i="18" s="1"/>
  <c r="L181" i="18" s="1"/>
  <c r="I42" i="18"/>
  <c r="J42" i="18" s="1"/>
  <c r="L42" i="18" s="1"/>
  <c r="I31" i="18"/>
  <c r="J31" i="18" s="1"/>
  <c r="L31" i="18" s="1"/>
  <c r="I156" i="18"/>
  <c r="J156" i="18" s="1"/>
  <c r="L156" i="18" s="1"/>
  <c r="I70" i="18"/>
  <c r="J70" i="18" s="1"/>
  <c r="L70" i="18" s="1"/>
  <c r="I36" i="18"/>
  <c r="J36" i="18" s="1"/>
  <c r="L36" i="18" s="1"/>
  <c r="I176" i="18"/>
  <c r="J176" i="18" s="1"/>
  <c r="L176" i="18" s="1"/>
  <c r="I71" i="18"/>
  <c r="J71" i="18" s="1"/>
  <c r="L71" i="18" s="1"/>
  <c r="I64" i="18"/>
  <c r="J64" i="18" s="1"/>
  <c r="L64" i="18" s="1"/>
  <c r="I179" i="18"/>
  <c r="J179" i="18" s="1"/>
  <c r="L179" i="18" s="1"/>
  <c r="I98" i="18"/>
  <c r="J98" i="18" s="1"/>
  <c r="L98" i="18" s="1"/>
  <c r="I191" i="18"/>
  <c r="J191" i="18" s="1"/>
  <c r="L191" i="18" s="1"/>
  <c r="I58" i="18"/>
  <c r="J58" i="18" s="1"/>
  <c r="L58" i="18" s="1"/>
  <c r="I171" i="18"/>
  <c r="J171" i="18" s="1"/>
  <c r="L171" i="18" s="1"/>
  <c r="I117" i="18"/>
  <c r="J117" i="18" s="1"/>
  <c r="L117" i="18" s="1"/>
  <c r="I30" i="18"/>
  <c r="J30" i="18" s="1"/>
  <c r="L30" i="18" s="1"/>
  <c r="I91" i="18"/>
  <c r="J91" i="18" s="1"/>
  <c r="L91" i="18" s="1"/>
  <c r="I189" i="18"/>
  <c r="J189" i="18" s="1"/>
  <c r="L189" i="18" s="1"/>
  <c r="I184" i="18"/>
  <c r="J184" i="18" s="1"/>
  <c r="L184" i="18" s="1"/>
  <c r="I152" i="18"/>
  <c r="J152" i="18" s="1"/>
  <c r="L152" i="18" s="1"/>
  <c r="I208" i="18"/>
  <c r="J208" i="18" s="1"/>
  <c r="L208" i="18" s="1"/>
  <c r="I134" i="18"/>
  <c r="J134" i="18" s="1"/>
  <c r="L134" i="18" s="1"/>
  <c r="I89" i="18"/>
  <c r="J89" i="18" s="1"/>
  <c r="L89" i="18" s="1"/>
  <c r="I183" i="18"/>
  <c r="J183" i="18" s="1"/>
  <c r="L183" i="18" s="1"/>
  <c r="I87" i="18"/>
  <c r="J87" i="18" s="1"/>
  <c r="L87" i="18" s="1"/>
  <c r="I61" i="18"/>
  <c r="J61" i="18" s="1"/>
  <c r="L61" i="18" s="1"/>
  <c r="I175" i="18"/>
  <c r="J175" i="18" s="1"/>
  <c r="L175" i="18" s="1"/>
  <c r="I132" i="18"/>
  <c r="J132" i="18" s="1"/>
  <c r="L132" i="18" s="1"/>
  <c r="I25" i="18"/>
  <c r="J25" i="18" s="1"/>
  <c r="L25" i="18" s="1"/>
  <c r="I111" i="18"/>
  <c r="J111" i="18" s="1"/>
  <c r="L111" i="18" s="1"/>
  <c r="I54" i="18"/>
  <c r="J54" i="18" s="1"/>
  <c r="L54" i="18" s="1"/>
  <c r="I192" i="18"/>
  <c r="J192" i="18" s="1"/>
  <c r="L192" i="18" s="1"/>
  <c r="I86" i="18"/>
  <c r="J86" i="18" s="1"/>
  <c r="L86" i="18" s="1"/>
  <c r="I116" i="18"/>
  <c r="J116" i="18" s="1"/>
  <c r="L116" i="18" s="1"/>
  <c r="I59" i="18"/>
  <c r="J59" i="18" s="1"/>
  <c r="L59" i="18" s="1"/>
  <c r="I27" i="18"/>
  <c r="J27" i="18" s="1"/>
  <c r="L27" i="18" s="1"/>
  <c r="I83" i="18"/>
  <c r="J83" i="18" s="1"/>
  <c r="L83" i="18" s="1"/>
  <c r="I92" i="18"/>
  <c r="J92" i="18" s="1"/>
  <c r="L92" i="18" s="1"/>
  <c r="I77" i="18"/>
  <c r="J77" i="18" s="1"/>
  <c r="L77" i="18" s="1"/>
  <c r="I49" i="18"/>
  <c r="J49" i="18" s="1"/>
  <c r="L49" i="18" s="1"/>
  <c r="I84" i="18"/>
  <c r="J84" i="18" s="1"/>
  <c r="L84" i="18" s="1"/>
  <c r="I161" i="18"/>
  <c r="J161" i="18" s="1"/>
  <c r="L161" i="18" s="1"/>
  <c r="I180" i="18"/>
  <c r="J180" i="18" s="1"/>
  <c r="L180" i="18" s="1"/>
  <c r="I39" i="18"/>
  <c r="J39" i="18" s="1"/>
  <c r="L39" i="18" s="1"/>
  <c r="I186" i="18"/>
  <c r="J186" i="18" s="1"/>
  <c r="L186" i="18" s="1"/>
  <c r="I50" i="18"/>
  <c r="J50" i="18" s="1"/>
  <c r="L50" i="18" s="1"/>
  <c r="I172" i="18"/>
  <c r="J172" i="18" s="1"/>
  <c r="L172" i="18" s="1"/>
  <c r="I104" i="18"/>
  <c r="J104" i="18" s="1"/>
  <c r="L104" i="18" s="1"/>
  <c r="I188" i="18"/>
  <c r="J188" i="18" s="1"/>
  <c r="L188" i="18" s="1"/>
  <c r="I57" i="18"/>
  <c r="J57" i="18" s="1"/>
  <c r="L57" i="18" s="1"/>
  <c r="I99" i="18"/>
  <c r="J99" i="18" s="1"/>
  <c r="L99" i="18" s="1"/>
  <c r="I185" i="18"/>
  <c r="J185" i="18" s="1"/>
  <c r="L185" i="18" s="1"/>
  <c r="I29" i="18"/>
  <c r="J29" i="18" s="1"/>
  <c r="L29" i="18" s="1"/>
  <c r="I62" i="18"/>
  <c r="J62" i="18" s="1"/>
  <c r="L62" i="18" s="1"/>
  <c r="I178" i="18"/>
  <c r="J178" i="18" s="1"/>
  <c r="L178" i="18" s="1"/>
  <c r="I108" i="18"/>
  <c r="J108" i="18" s="1"/>
  <c r="L108" i="18" s="1"/>
  <c r="I38" i="18"/>
  <c r="J38" i="18" s="1"/>
  <c r="L38" i="18" s="1"/>
  <c r="I204" i="18"/>
  <c r="J204" i="18" s="1"/>
  <c r="L204" i="18" s="1"/>
  <c r="I162" i="18"/>
  <c r="J162" i="18" s="1"/>
  <c r="L162" i="18" s="1"/>
  <c r="I107" i="18"/>
  <c r="J107" i="18" s="1"/>
  <c r="L107" i="18" s="1"/>
  <c r="I128" i="18"/>
  <c r="J128" i="18" s="1"/>
  <c r="L128" i="18" s="1"/>
  <c r="I105" i="18"/>
  <c r="J105" i="18" s="1"/>
  <c r="L105" i="18" s="1"/>
  <c r="I60" i="18"/>
  <c r="J60" i="18" s="1"/>
  <c r="L60" i="18" s="1"/>
  <c r="I187" i="18"/>
  <c r="J187" i="18" s="1"/>
  <c r="L187" i="18" s="1"/>
  <c r="I195" i="18"/>
  <c r="J195" i="18" s="1"/>
  <c r="L195" i="18" s="1"/>
  <c r="I193" i="18"/>
  <c r="J193" i="18" s="1"/>
  <c r="L193" i="18" s="1"/>
  <c r="I177" i="18"/>
  <c r="J177" i="18" s="1"/>
  <c r="L177" i="18" s="1"/>
  <c r="I41" i="18"/>
  <c r="J41" i="18" s="1"/>
  <c r="L41" i="18" s="1"/>
  <c r="I160" i="18"/>
  <c r="J160" i="18" s="1"/>
  <c r="L160" i="18" s="1"/>
  <c r="I142" i="18"/>
  <c r="J142" i="18" s="1"/>
  <c r="L142" i="18" s="1"/>
  <c r="I51" i="18"/>
  <c r="J51" i="18" s="1"/>
  <c r="L51" i="18" s="1"/>
  <c r="I137" i="18"/>
  <c r="J137" i="18" s="1"/>
  <c r="L137" i="18" s="1"/>
  <c r="I79" i="18"/>
  <c r="J79" i="18" s="1"/>
  <c r="L79" i="18" s="1"/>
  <c r="I23" i="18"/>
  <c r="J23" i="18" s="1"/>
  <c r="L23" i="18" s="1"/>
  <c r="I69" i="18"/>
  <c r="J69" i="18" s="1"/>
  <c r="L69" i="18" s="1"/>
  <c r="I123" i="18"/>
  <c r="J123" i="18" s="1"/>
  <c r="L123" i="18" s="1"/>
  <c r="I164" i="18"/>
  <c r="J164" i="18" s="1"/>
  <c r="L164" i="18" s="1"/>
  <c r="I73" i="18"/>
  <c r="J73" i="18" s="1"/>
  <c r="L73" i="18" s="1"/>
  <c r="I90" i="18"/>
  <c r="J90" i="18" s="1"/>
  <c r="L90" i="18" s="1"/>
  <c r="I170" i="18"/>
  <c r="J170" i="18" s="1"/>
  <c r="L170" i="18" s="1"/>
  <c r="I63" i="18"/>
  <c r="J63" i="18" s="1"/>
  <c r="L63" i="18" s="1"/>
  <c r="I78" i="18"/>
  <c r="J78" i="18" s="1"/>
  <c r="L78" i="18" s="1"/>
  <c r="I102" i="18"/>
  <c r="J102" i="18" s="1"/>
  <c r="L102" i="18" s="1"/>
  <c r="I95" i="18"/>
  <c r="J95" i="18" s="1"/>
  <c r="L95" i="18" s="1"/>
  <c r="I153" i="18"/>
  <c r="J153" i="18" s="1"/>
  <c r="L153" i="18" s="1"/>
  <c r="I32" i="18"/>
  <c r="J32" i="18" s="1"/>
  <c r="L32" i="18" s="1"/>
  <c r="I173" i="18"/>
  <c r="J173" i="18" s="1"/>
  <c r="L173" i="18" s="1"/>
  <c r="I157" i="18"/>
  <c r="J157" i="18" s="1"/>
  <c r="L157" i="18" s="1"/>
  <c r="I130" i="18"/>
  <c r="J130" i="18" s="1"/>
  <c r="L130" i="18" s="1"/>
  <c r="I149" i="18"/>
  <c r="J149" i="18" s="1"/>
  <c r="L149" i="18" s="1"/>
  <c r="I148" i="18"/>
  <c r="J148" i="18" s="1"/>
  <c r="L148" i="18" s="1"/>
  <c r="I68" i="18"/>
  <c r="J68" i="18" s="1"/>
  <c r="L68" i="18" s="1"/>
  <c r="I47" i="18"/>
  <c r="J47" i="18" s="1"/>
  <c r="L47" i="18" s="1"/>
  <c r="I210" i="18"/>
  <c r="J210" i="18" s="1"/>
  <c r="L210" i="18" s="1"/>
  <c r="I56" i="18"/>
  <c r="J56" i="18" s="1"/>
  <c r="F14" i="29"/>
  <c r="I136" i="18"/>
  <c r="J136" i="18" s="1"/>
  <c r="L136" i="18" s="1"/>
  <c r="I44" i="18"/>
  <c r="J44" i="18" s="1"/>
  <c r="L44" i="18" s="1"/>
  <c r="I197" i="18"/>
  <c r="J197" i="18" s="1"/>
  <c r="L197" i="18" s="1"/>
  <c r="I53" i="18"/>
  <c r="J53" i="18" s="1"/>
  <c r="L53" i="18" s="1"/>
  <c r="I66" i="18"/>
  <c r="J66" i="18" s="1"/>
  <c r="L66" i="18" s="1"/>
  <c r="I67" i="18"/>
  <c r="J67" i="18" s="1"/>
  <c r="L67" i="18" s="1"/>
  <c r="I138" i="18"/>
  <c r="J138" i="18" s="1"/>
  <c r="L138" i="18" s="1"/>
  <c r="I113" i="18"/>
  <c r="J113" i="18" s="1"/>
  <c r="L113" i="18" s="1"/>
  <c r="I40" i="18"/>
  <c r="J40" i="18" s="1"/>
  <c r="L40" i="18" s="1"/>
  <c r="I135" i="18"/>
  <c r="J135" i="18" s="1"/>
  <c r="L135" i="18" s="1"/>
  <c r="I174" i="18"/>
  <c r="J174" i="18" s="1"/>
  <c r="L174" i="18" s="1"/>
  <c r="I129" i="18"/>
  <c r="J129" i="18" s="1"/>
  <c r="L129" i="18" s="1"/>
  <c r="I34" i="18"/>
  <c r="J34" i="18" s="1"/>
  <c r="L34" i="18" s="1"/>
  <c r="I43" i="18"/>
  <c r="J43" i="18" s="1"/>
  <c r="L43" i="18" s="1"/>
  <c r="I198" i="18"/>
  <c r="J198" i="18" s="1"/>
  <c r="L198" i="18" s="1"/>
  <c r="I151" i="18"/>
  <c r="J151" i="18" s="1"/>
  <c r="L151" i="18" s="1"/>
  <c r="I109" i="18"/>
  <c r="J109" i="18" s="1"/>
  <c r="L109" i="18" s="1"/>
  <c r="I199" i="18"/>
  <c r="J199" i="18" s="1"/>
  <c r="L199" i="18" s="1"/>
  <c r="I55" i="18"/>
  <c r="J55" i="18" s="1"/>
  <c r="L55" i="18" s="1"/>
  <c r="I112" i="18"/>
  <c r="J112" i="18" s="1"/>
  <c r="L112" i="18" s="1"/>
  <c r="I75" i="18"/>
  <c r="J75" i="18" s="1"/>
  <c r="L75" i="18" s="1"/>
  <c r="I48" i="18"/>
  <c r="J48" i="18" s="1"/>
  <c r="L48" i="18" s="1"/>
  <c r="I131" i="18"/>
  <c r="J131" i="18" s="1"/>
  <c r="L131" i="18" s="1"/>
  <c r="I127" i="18"/>
  <c r="J127" i="18" s="1"/>
  <c r="L127" i="18" s="1"/>
  <c r="I22" i="18"/>
  <c r="J22" i="18" s="1"/>
  <c r="L22" i="18" s="1"/>
  <c r="I133" i="18"/>
  <c r="J133" i="18" s="1"/>
  <c r="L133" i="18" s="1"/>
  <c r="I65" i="18"/>
  <c r="J65" i="18" s="1"/>
  <c r="L65" i="18" s="1"/>
  <c r="I26" i="18"/>
  <c r="J26" i="18" s="1"/>
  <c r="L26" i="18" s="1"/>
  <c r="I166" i="18"/>
  <c r="J166" i="18" s="1"/>
  <c r="L166" i="18" s="1"/>
  <c r="I144" i="18"/>
  <c r="J144" i="18" s="1"/>
  <c r="L144" i="18" s="1"/>
  <c r="I72" i="18"/>
  <c r="J72" i="18" s="1"/>
  <c r="L72" i="18" s="1"/>
  <c r="I21" i="18"/>
  <c r="J21" i="18" s="1"/>
  <c r="L21" i="18" s="1"/>
  <c r="I196" i="18"/>
  <c r="J196" i="18" s="1"/>
  <c r="L196" i="18" s="1"/>
  <c r="I163" i="18"/>
  <c r="J163" i="18" s="1"/>
  <c r="L163" i="18" s="1"/>
  <c r="I125" i="18"/>
  <c r="J125" i="18" s="1"/>
  <c r="L125" i="18" s="1"/>
  <c r="I118" i="18"/>
  <c r="J118" i="18" s="1"/>
  <c r="L118" i="18" s="1"/>
  <c r="I169" i="18"/>
  <c r="J169" i="18" s="1"/>
  <c r="L169" i="18" s="1"/>
  <c r="I182" i="18"/>
  <c r="J182" i="18" s="1"/>
  <c r="L182" i="18" s="1"/>
  <c r="I202" i="18"/>
  <c r="J202" i="18" s="1"/>
  <c r="L202" i="18" s="1"/>
  <c r="I100" i="18"/>
  <c r="J100" i="18" s="1"/>
  <c r="L100" i="18" s="1"/>
  <c r="I146" i="18"/>
  <c r="J146" i="18" s="1"/>
  <c r="L146" i="18" s="1"/>
  <c r="I85" i="18"/>
  <c r="J85" i="18" s="1"/>
  <c r="L85" i="18" s="1"/>
  <c r="I74" i="18"/>
  <c r="J74" i="18" s="1"/>
  <c r="L74" i="18" s="1"/>
  <c r="I145" i="18"/>
  <c r="J145" i="18" s="1"/>
  <c r="L145" i="18" s="1"/>
  <c r="I158" i="18"/>
  <c r="J158" i="18" s="1"/>
  <c r="L158" i="18" s="1"/>
  <c r="I82" i="18"/>
  <c r="J82" i="18" s="1"/>
  <c r="L82" i="18" s="1"/>
  <c r="I88" i="18"/>
  <c r="J88" i="18" s="1"/>
  <c r="L88" i="18" s="1"/>
  <c r="I190" i="18"/>
  <c r="J190" i="18" s="1"/>
  <c r="L190" i="18" s="1"/>
  <c r="I96" i="18"/>
  <c r="J96" i="18" s="1"/>
  <c r="L96" i="18" s="1"/>
  <c r="I103" i="18"/>
  <c r="J103" i="18" s="1"/>
  <c r="L103" i="18" s="1"/>
  <c r="I33" i="18"/>
  <c r="J33" i="18" s="1"/>
  <c r="L33" i="18" s="1"/>
  <c r="I121" i="18"/>
  <c r="J121" i="18" s="1"/>
  <c r="L121" i="18" s="1"/>
  <c r="I52" i="18"/>
  <c r="J52" i="18" s="1"/>
  <c r="L52" i="18" s="1"/>
  <c r="I120" i="18"/>
  <c r="J120" i="18" s="1"/>
  <c r="L120" i="18" s="1"/>
  <c r="I141" i="18"/>
  <c r="J141" i="18" s="1"/>
  <c r="L141" i="18" s="1"/>
  <c r="I110" i="18"/>
  <c r="J110" i="18" s="1"/>
  <c r="L110" i="18" s="1"/>
  <c r="I115" i="18"/>
  <c r="J115" i="18" s="1"/>
  <c r="L115" i="18" s="1"/>
  <c r="I37" i="18"/>
  <c r="J37" i="18" s="1"/>
  <c r="L37" i="18" s="1"/>
  <c r="I209" i="18"/>
  <c r="J209" i="18" s="1"/>
  <c r="L209" i="18" s="1"/>
  <c r="I20" i="18"/>
  <c r="J20" i="18" s="1"/>
  <c r="I205" i="18"/>
  <c r="J205" i="18" s="1"/>
  <c r="L205" i="18" s="1"/>
  <c r="I211" i="18"/>
  <c r="J211" i="18" s="1"/>
  <c r="L211" i="18" s="1"/>
  <c r="I150" i="18"/>
  <c r="J150" i="18" s="1"/>
  <c r="L150" i="18" s="1"/>
  <c r="I168" i="18"/>
  <c r="J168" i="18" s="1"/>
  <c r="L168" i="18" s="1"/>
  <c r="I194" i="18"/>
  <c r="J194" i="18" s="1"/>
  <c r="L194" i="18" s="1"/>
  <c r="I101" i="18"/>
  <c r="J101" i="18" s="1"/>
  <c r="L101" i="18" s="1"/>
  <c r="I119" i="18"/>
  <c r="J119" i="18" s="1"/>
  <c r="L119" i="18" s="1"/>
  <c r="I76" i="18"/>
  <c r="J76" i="18" s="1"/>
  <c r="L76" i="18" s="1"/>
  <c r="I139" i="18"/>
  <c r="J139" i="18" s="1"/>
  <c r="L139" i="18" s="1"/>
  <c r="I167" i="18"/>
  <c r="J167" i="18" s="1"/>
  <c r="L167" i="18" s="1"/>
  <c r="I28" i="18"/>
  <c r="J28" i="18" s="1"/>
  <c r="L28" i="18" s="1"/>
  <c r="I106" i="18"/>
  <c r="J106" i="18" s="1"/>
  <c r="L106" i="18" s="1"/>
  <c r="I159" i="18"/>
  <c r="J159" i="18" s="1"/>
  <c r="L159" i="18" s="1"/>
  <c r="I206" i="18"/>
  <c r="J206" i="18" s="1"/>
  <c r="L206" i="18" s="1"/>
  <c r="I165" i="18"/>
  <c r="J165" i="18" s="1"/>
  <c r="L165" i="18" s="1"/>
  <c r="I200" i="18"/>
  <c r="J200" i="18" s="1"/>
  <c r="L200" i="18" s="1"/>
  <c r="I201" i="18"/>
  <c r="J201" i="18" s="1"/>
  <c r="L201" i="18" s="1"/>
  <c r="I45" i="18"/>
  <c r="J45" i="18" s="1"/>
  <c r="L45" i="18" s="1"/>
  <c r="I24" i="18"/>
  <c r="J24" i="18" s="1"/>
  <c r="L24" i="18" s="1"/>
  <c r="I94" i="18"/>
  <c r="J94" i="18" s="1"/>
  <c r="L94" i="18" s="1"/>
  <c r="I147" i="18"/>
  <c r="J147" i="18" s="1"/>
  <c r="L147" i="18" s="1"/>
  <c r="I143" i="18"/>
  <c r="J143" i="18" s="1"/>
  <c r="L143" i="18" s="1"/>
  <c r="I207" i="18"/>
  <c r="J207" i="18" s="1"/>
  <c r="L207" i="18" s="1"/>
  <c r="I126" i="18"/>
  <c r="J126" i="18" s="1"/>
  <c r="L126" i="18" s="1"/>
  <c r="I80" i="18"/>
  <c r="J80" i="18" s="1"/>
  <c r="L80" i="18" s="1"/>
  <c r="I46" i="18"/>
  <c r="J46" i="18" s="1"/>
  <c r="L46" i="18" s="1"/>
  <c r="I93" i="18"/>
  <c r="J93" i="18" s="1"/>
  <c r="L93" i="18" s="1"/>
  <c r="I140" i="18"/>
  <c r="J140" i="18" s="1"/>
  <c r="L140" i="18" s="1"/>
  <c r="I35" i="18"/>
  <c r="J35" i="18" s="1"/>
  <c r="L35" i="18" s="1"/>
  <c r="I122" i="18"/>
  <c r="J122" i="18" s="1"/>
  <c r="L122" i="18" s="1"/>
  <c r="I203" i="18"/>
  <c r="J203" i="18" s="1"/>
  <c r="L203" i="18" s="1"/>
  <c r="I114" i="18"/>
  <c r="J114" i="18" s="1"/>
  <c r="L114" i="18" s="1"/>
  <c r="I154" i="18"/>
  <c r="J154" i="18" s="1"/>
  <c r="L154" i="18" s="1"/>
  <c r="I155" i="18"/>
  <c r="J155" i="18" s="1"/>
  <c r="L155" i="18" s="1"/>
  <c r="J212" i="18" l="1"/>
  <c r="J14" i="18"/>
  <c r="L20" i="18"/>
  <c r="J13" i="18"/>
  <c r="L56" i="18"/>
  <c r="L13" i="18" l="1"/>
  <c r="L212" i="18"/>
  <c r="L14" i="18"/>
  <c r="M21" i="18" l="1"/>
  <c r="N21" i="18" s="1"/>
  <c r="R21" i="18" s="1"/>
  <c r="M92" i="18"/>
  <c r="N92" i="18" s="1"/>
  <c r="R92" i="18" s="1"/>
  <c r="M98" i="18"/>
  <c r="N98" i="18" s="1"/>
  <c r="R98" i="18" s="1"/>
  <c r="M211" i="18"/>
  <c r="N211" i="18" s="1"/>
  <c r="R211" i="18" s="1"/>
  <c r="M126" i="18"/>
  <c r="N126" i="18" s="1"/>
  <c r="R126" i="18" s="1"/>
  <c r="M107" i="18"/>
  <c r="N107" i="18" s="1"/>
  <c r="R107" i="18" s="1"/>
  <c r="M129" i="18"/>
  <c r="N129" i="18" s="1"/>
  <c r="R129" i="18" s="1"/>
  <c r="M82" i="18"/>
  <c r="N82" i="18" s="1"/>
  <c r="R82" i="18" s="1"/>
  <c r="M41" i="18"/>
  <c r="N41" i="18" s="1"/>
  <c r="R41" i="18" s="1"/>
  <c r="M207" i="18"/>
  <c r="N207" i="18" s="1"/>
  <c r="R207" i="18" s="1"/>
  <c r="M146" i="18"/>
  <c r="N146" i="18" s="1"/>
  <c r="R146" i="18" s="1"/>
  <c r="M73" i="18"/>
  <c r="N73" i="18" s="1"/>
  <c r="R73" i="18" s="1"/>
  <c r="M58" i="18"/>
  <c r="N58" i="18" s="1"/>
  <c r="R58" i="18" s="1"/>
  <c r="M149" i="18"/>
  <c r="N149" i="18" s="1"/>
  <c r="R149" i="18" s="1"/>
  <c r="M148" i="18"/>
  <c r="N148" i="18" s="1"/>
  <c r="R148" i="18" s="1"/>
  <c r="M173" i="18"/>
  <c r="N173" i="18" s="1"/>
  <c r="R173" i="18" s="1"/>
  <c r="M102" i="18"/>
  <c r="N102" i="18" s="1"/>
  <c r="R102" i="18" s="1"/>
  <c r="M122" i="18"/>
  <c r="N122" i="18" s="1"/>
  <c r="R122" i="18" s="1"/>
  <c r="M64" i="18"/>
  <c r="N64" i="18" s="1"/>
  <c r="R64" i="18" s="1"/>
  <c r="M185" i="18"/>
  <c r="N185" i="18" s="1"/>
  <c r="R185" i="18" s="1"/>
  <c r="M124" i="18"/>
  <c r="N124" i="18" s="1"/>
  <c r="R124" i="18" s="1"/>
  <c r="M206" i="18"/>
  <c r="N206" i="18" s="1"/>
  <c r="R206" i="18" s="1"/>
  <c r="M35" i="18"/>
  <c r="N35" i="18" s="1"/>
  <c r="R35" i="18" s="1"/>
  <c r="M170" i="18"/>
  <c r="N170" i="18" s="1"/>
  <c r="R170" i="18" s="1"/>
  <c r="M78" i="18"/>
  <c r="N78" i="18" s="1"/>
  <c r="R78" i="18" s="1"/>
  <c r="M180" i="18"/>
  <c r="N180" i="18" s="1"/>
  <c r="R180" i="18" s="1"/>
  <c r="M83" i="18"/>
  <c r="N83" i="18" s="1"/>
  <c r="R83" i="18" s="1"/>
  <c r="M187" i="18"/>
  <c r="N187" i="18" s="1"/>
  <c r="R187" i="18" s="1"/>
  <c r="M137" i="18"/>
  <c r="N137" i="18" s="1"/>
  <c r="R137" i="18" s="1"/>
  <c r="M157" i="18"/>
  <c r="N157" i="18" s="1"/>
  <c r="R157" i="18" s="1"/>
  <c r="M45" i="18"/>
  <c r="N45" i="18" s="1"/>
  <c r="R45" i="18" s="1"/>
  <c r="M132" i="18"/>
  <c r="N132" i="18" s="1"/>
  <c r="R132" i="18" s="1"/>
  <c r="M75" i="18"/>
  <c r="N75" i="18" s="1"/>
  <c r="R75" i="18" s="1"/>
  <c r="M150" i="18"/>
  <c r="N150" i="18" s="1"/>
  <c r="R150" i="18" s="1"/>
  <c r="M115" i="18"/>
  <c r="N115" i="18" s="1"/>
  <c r="R115" i="18" s="1"/>
  <c r="M72" i="18"/>
  <c r="N72" i="18" s="1"/>
  <c r="R72" i="18" s="1"/>
  <c r="M65" i="18"/>
  <c r="N65" i="18" s="1"/>
  <c r="R65" i="18" s="1"/>
  <c r="M191" i="18"/>
  <c r="N191" i="18" s="1"/>
  <c r="R191" i="18" s="1"/>
  <c r="M204" i="18"/>
  <c r="N204" i="18" s="1"/>
  <c r="R204" i="18" s="1"/>
  <c r="M210" i="18"/>
  <c r="N210" i="18" s="1"/>
  <c r="R210" i="18" s="1"/>
  <c r="M140" i="18"/>
  <c r="N140" i="18" s="1"/>
  <c r="R140" i="18" s="1"/>
  <c r="M113" i="18"/>
  <c r="N113" i="18" s="1"/>
  <c r="R113" i="18" s="1"/>
  <c r="M196" i="18"/>
  <c r="N196" i="18" s="1"/>
  <c r="R196" i="18" s="1"/>
  <c r="M135" i="18"/>
  <c r="N135" i="18" s="1"/>
  <c r="R135" i="18" s="1"/>
  <c r="M26" i="18"/>
  <c r="N26" i="18" s="1"/>
  <c r="R26" i="18" s="1"/>
  <c r="M198" i="18"/>
  <c r="N198" i="18" s="1"/>
  <c r="R198" i="18" s="1"/>
  <c r="M37" i="18"/>
  <c r="N37" i="18" s="1"/>
  <c r="R37" i="18" s="1"/>
  <c r="M56" i="18"/>
  <c r="M101" i="18"/>
  <c r="N101" i="18" s="1"/>
  <c r="R101" i="18" s="1"/>
  <c r="M29" i="18"/>
  <c r="N29" i="18" s="1"/>
  <c r="R29" i="18" s="1"/>
  <c r="M79" i="18"/>
  <c r="N79" i="18" s="1"/>
  <c r="R79" i="18" s="1"/>
  <c r="M48" i="18"/>
  <c r="N48" i="18" s="1"/>
  <c r="R48" i="18" s="1"/>
  <c r="M177" i="18"/>
  <c r="N177" i="18" s="1"/>
  <c r="R177" i="18" s="1"/>
  <c r="M22" i="18"/>
  <c r="N22" i="18" s="1"/>
  <c r="R22" i="18" s="1"/>
  <c r="M50" i="18"/>
  <c r="N50" i="18" s="1"/>
  <c r="R50" i="18" s="1"/>
  <c r="M130" i="18"/>
  <c r="N130" i="18" s="1"/>
  <c r="R130" i="18" s="1"/>
  <c r="M209" i="18"/>
  <c r="N209" i="18" s="1"/>
  <c r="R209" i="18" s="1"/>
  <c r="M42" i="18"/>
  <c r="N42" i="18" s="1"/>
  <c r="R42" i="18" s="1"/>
  <c r="M127" i="18"/>
  <c r="N127" i="18" s="1"/>
  <c r="R127" i="18" s="1"/>
  <c r="M182" i="18"/>
  <c r="N182" i="18" s="1"/>
  <c r="R182" i="18" s="1"/>
  <c r="M104" i="18"/>
  <c r="N104" i="18" s="1"/>
  <c r="R104" i="18" s="1"/>
  <c r="M162" i="18"/>
  <c r="N162" i="18" s="1"/>
  <c r="R162" i="18" s="1"/>
  <c r="M46" i="18"/>
  <c r="N46" i="18" s="1"/>
  <c r="R46" i="18" s="1"/>
  <c r="M190" i="18"/>
  <c r="N190" i="18" s="1"/>
  <c r="R190" i="18" s="1"/>
  <c r="M193" i="18"/>
  <c r="N193" i="18" s="1"/>
  <c r="R193" i="18" s="1"/>
  <c r="M108" i="18"/>
  <c r="N108" i="18" s="1"/>
  <c r="R108" i="18" s="1"/>
  <c r="M62" i="18"/>
  <c r="N62" i="18" s="1"/>
  <c r="R62" i="18" s="1"/>
  <c r="M33" i="18"/>
  <c r="N33" i="18" s="1"/>
  <c r="R33" i="18" s="1"/>
  <c r="M156" i="18"/>
  <c r="N156" i="18" s="1"/>
  <c r="R156" i="18" s="1"/>
  <c r="M52" i="18"/>
  <c r="N52" i="18" s="1"/>
  <c r="R52" i="18" s="1"/>
  <c r="M103" i="18"/>
  <c r="N103" i="18" s="1"/>
  <c r="R103" i="18" s="1"/>
  <c r="M194" i="18"/>
  <c r="N194" i="18" s="1"/>
  <c r="R194" i="18" s="1"/>
  <c r="M136" i="18"/>
  <c r="N136" i="18" s="1"/>
  <c r="R136" i="18" s="1"/>
  <c r="M120" i="18"/>
  <c r="N120" i="18" s="1"/>
  <c r="R120" i="18" s="1"/>
  <c r="M165" i="18"/>
  <c r="N165" i="18" s="1"/>
  <c r="R165" i="18" s="1"/>
  <c r="M161" i="18"/>
  <c r="N161" i="18" s="1"/>
  <c r="R161" i="18" s="1"/>
  <c r="M197" i="18"/>
  <c r="N197" i="18" s="1"/>
  <c r="R197" i="18" s="1"/>
  <c r="M134" i="18"/>
  <c r="N134" i="18" s="1"/>
  <c r="R134" i="18" s="1"/>
  <c r="M97" i="18"/>
  <c r="N97" i="18" s="1"/>
  <c r="R97" i="18" s="1"/>
  <c r="M133" i="18"/>
  <c r="N133" i="18" s="1"/>
  <c r="R133" i="18" s="1"/>
  <c r="M164" i="18"/>
  <c r="N164" i="18" s="1"/>
  <c r="R164" i="18" s="1"/>
  <c r="M95" i="18"/>
  <c r="N95" i="18" s="1"/>
  <c r="R95" i="18" s="1"/>
  <c r="M200" i="18"/>
  <c r="N200" i="18" s="1"/>
  <c r="R200" i="18" s="1"/>
  <c r="M114" i="18"/>
  <c r="N114" i="18" s="1"/>
  <c r="R114" i="18" s="1"/>
  <c r="M145" i="18"/>
  <c r="N145" i="18" s="1"/>
  <c r="R145" i="18" s="1"/>
  <c r="M125" i="18"/>
  <c r="N125" i="18" s="1"/>
  <c r="R125" i="18" s="1"/>
  <c r="M172" i="18"/>
  <c r="N172" i="18" s="1"/>
  <c r="R172" i="18" s="1"/>
  <c r="M68" i="18"/>
  <c r="N68" i="18" s="1"/>
  <c r="R68" i="18" s="1"/>
  <c r="M40" i="18"/>
  <c r="N40" i="18" s="1"/>
  <c r="R40" i="18" s="1"/>
  <c r="M174" i="18"/>
  <c r="N174" i="18" s="1"/>
  <c r="R174" i="18" s="1"/>
  <c r="M94" i="18"/>
  <c r="N94" i="18" s="1"/>
  <c r="R94" i="18" s="1"/>
  <c r="M112" i="18"/>
  <c r="N112" i="18" s="1"/>
  <c r="R112" i="18" s="1"/>
  <c r="M199" i="18"/>
  <c r="N199" i="18" s="1"/>
  <c r="R199" i="18" s="1"/>
  <c r="M109" i="18"/>
  <c r="N109" i="18" s="1"/>
  <c r="R109" i="18" s="1"/>
  <c r="M88" i="18"/>
  <c r="N88" i="18" s="1"/>
  <c r="R88" i="18" s="1"/>
  <c r="M27" i="18"/>
  <c r="N27" i="18" s="1"/>
  <c r="R27" i="18" s="1"/>
  <c r="M160" i="18"/>
  <c r="N160" i="18" s="1"/>
  <c r="R160" i="18" s="1"/>
  <c r="M184" i="18"/>
  <c r="N184" i="18" s="1"/>
  <c r="R184" i="18" s="1"/>
  <c r="M192" i="18"/>
  <c r="N192" i="18" s="1"/>
  <c r="R192" i="18" s="1"/>
  <c r="M155" i="18"/>
  <c r="N155" i="18" s="1"/>
  <c r="R155" i="18" s="1"/>
  <c r="M178" i="18"/>
  <c r="N178" i="18" s="1"/>
  <c r="R178" i="18" s="1"/>
  <c r="M169" i="18"/>
  <c r="N169" i="18" s="1"/>
  <c r="R169" i="18" s="1"/>
  <c r="M117" i="18"/>
  <c r="N117" i="18" s="1"/>
  <c r="R117" i="18" s="1"/>
  <c r="M143" i="18"/>
  <c r="N143" i="18" s="1"/>
  <c r="R143" i="18" s="1"/>
  <c r="M181" i="18"/>
  <c r="N181" i="18" s="1"/>
  <c r="R181" i="18" s="1"/>
  <c r="M80" i="18"/>
  <c r="N80" i="18" s="1"/>
  <c r="R80" i="18" s="1"/>
  <c r="M69" i="18"/>
  <c r="N69" i="18" s="1"/>
  <c r="R69" i="18" s="1"/>
  <c r="M154" i="18"/>
  <c r="N154" i="18" s="1"/>
  <c r="R154" i="18" s="1"/>
  <c r="M43" i="18"/>
  <c r="N43" i="18" s="1"/>
  <c r="R43" i="18" s="1"/>
  <c r="M183" i="18"/>
  <c r="N183" i="18" s="1"/>
  <c r="R183" i="18" s="1"/>
  <c r="M167" i="18"/>
  <c r="N167" i="18" s="1"/>
  <c r="R167" i="18" s="1"/>
  <c r="M86" i="18"/>
  <c r="N86" i="18" s="1"/>
  <c r="R86" i="18" s="1"/>
  <c r="M202" i="18"/>
  <c r="N202" i="18" s="1"/>
  <c r="R202" i="18" s="1"/>
  <c r="M85" i="18"/>
  <c r="N85" i="18" s="1"/>
  <c r="R85" i="18" s="1"/>
  <c r="M171" i="18"/>
  <c r="N171" i="18" s="1"/>
  <c r="R171" i="18" s="1"/>
  <c r="M36" i="18"/>
  <c r="N36" i="18" s="1"/>
  <c r="R36" i="18" s="1"/>
  <c r="M87" i="18"/>
  <c r="N87" i="18" s="1"/>
  <c r="R87" i="18" s="1"/>
  <c r="M93" i="18"/>
  <c r="N93" i="18" s="1"/>
  <c r="R93" i="18" s="1"/>
  <c r="M90" i="18"/>
  <c r="N90" i="18" s="1"/>
  <c r="R90" i="18" s="1"/>
  <c r="M189" i="18"/>
  <c r="N189" i="18" s="1"/>
  <c r="R189" i="18" s="1"/>
  <c r="M96" i="18"/>
  <c r="N96" i="18" s="1"/>
  <c r="R96" i="18" s="1"/>
  <c r="M23" i="18"/>
  <c r="N23" i="18" s="1"/>
  <c r="R23" i="18" s="1"/>
  <c r="M30" i="18"/>
  <c r="N30" i="18" s="1"/>
  <c r="R30" i="18" s="1"/>
  <c r="M24" i="18"/>
  <c r="N24" i="18" s="1"/>
  <c r="R24" i="18" s="1"/>
  <c r="M110" i="18"/>
  <c r="N110" i="18" s="1"/>
  <c r="R110" i="18" s="1"/>
  <c r="M54" i="18"/>
  <c r="N54" i="18" s="1"/>
  <c r="R54" i="18" s="1"/>
  <c r="M34" i="18"/>
  <c r="N34" i="18" s="1"/>
  <c r="R34" i="18" s="1"/>
  <c r="M201" i="18"/>
  <c r="N201" i="18" s="1"/>
  <c r="R201" i="18" s="1"/>
  <c r="M203" i="18"/>
  <c r="N203" i="18" s="1"/>
  <c r="R203" i="18" s="1"/>
  <c r="M77" i="18"/>
  <c r="N77" i="18" s="1"/>
  <c r="R77" i="18" s="1"/>
  <c r="M128" i="18"/>
  <c r="N128" i="18" s="1"/>
  <c r="R128" i="18" s="1"/>
  <c r="M166" i="18"/>
  <c r="N166" i="18" s="1"/>
  <c r="R166" i="18" s="1"/>
  <c r="M142" i="18"/>
  <c r="N142" i="18" s="1"/>
  <c r="R142" i="18" s="1"/>
  <c r="M32" i="18"/>
  <c r="N32" i="18" s="1"/>
  <c r="R32" i="18" s="1"/>
  <c r="M106" i="18"/>
  <c r="N106" i="18" s="1"/>
  <c r="R106" i="18" s="1"/>
  <c r="M151" i="18"/>
  <c r="N151" i="18" s="1"/>
  <c r="R151" i="18" s="1"/>
  <c r="M175" i="18"/>
  <c r="N175" i="18" s="1"/>
  <c r="R175" i="18" s="1"/>
  <c r="M205" i="18"/>
  <c r="N205" i="18" s="1"/>
  <c r="R205" i="18" s="1"/>
  <c r="M159" i="18"/>
  <c r="N159" i="18" s="1"/>
  <c r="R159" i="18" s="1"/>
  <c r="M105" i="18"/>
  <c r="N105" i="18" s="1"/>
  <c r="R105" i="18" s="1"/>
  <c r="M47" i="18"/>
  <c r="N47" i="18" s="1"/>
  <c r="R47" i="18" s="1"/>
  <c r="M89" i="18"/>
  <c r="N89" i="18" s="1"/>
  <c r="R89" i="18" s="1"/>
  <c r="M99" i="18"/>
  <c r="N99" i="18" s="1"/>
  <c r="R99" i="18" s="1"/>
  <c r="M138" i="18"/>
  <c r="N138" i="18" s="1"/>
  <c r="R138" i="18" s="1"/>
  <c r="M53" i="18"/>
  <c r="N53" i="18" s="1"/>
  <c r="R53" i="18" s="1"/>
  <c r="M144" i="18"/>
  <c r="N144" i="18" s="1"/>
  <c r="R144" i="18" s="1"/>
  <c r="M147" i="18"/>
  <c r="N147" i="18" s="1"/>
  <c r="R147" i="18" s="1"/>
  <c r="M111" i="18"/>
  <c r="N111" i="18" s="1"/>
  <c r="R111" i="18" s="1"/>
  <c r="M116" i="18"/>
  <c r="N116" i="18" s="1"/>
  <c r="R116" i="18" s="1"/>
  <c r="M71" i="18"/>
  <c r="N71" i="18" s="1"/>
  <c r="R71" i="18" s="1"/>
  <c r="M152" i="18"/>
  <c r="N152" i="18" s="1"/>
  <c r="R152" i="18" s="1"/>
  <c r="M57" i="18"/>
  <c r="N57" i="18" s="1"/>
  <c r="R57" i="18" s="1"/>
  <c r="M163" i="18"/>
  <c r="N163" i="18" s="1"/>
  <c r="R163" i="18" s="1"/>
  <c r="M39" i="18"/>
  <c r="N39" i="18" s="1"/>
  <c r="R39" i="18" s="1"/>
  <c r="M158" i="18"/>
  <c r="N158" i="18" s="1"/>
  <c r="R158" i="18" s="1"/>
  <c r="M49" i="18"/>
  <c r="N49" i="18" s="1"/>
  <c r="R49" i="18" s="1"/>
  <c r="M44" i="18"/>
  <c r="N44" i="18" s="1"/>
  <c r="R44" i="18" s="1"/>
  <c r="M61" i="18"/>
  <c r="N61" i="18" s="1"/>
  <c r="R61" i="18" s="1"/>
  <c r="M70" i="18"/>
  <c r="N70" i="18" s="1"/>
  <c r="R70" i="18" s="1"/>
  <c r="M28" i="18"/>
  <c r="N28" i="18" s="1"/>
  <c r="R28" i="18" s="1"/>
  <c r="M67" i="18"/>
  <c r="N67" i="18" s="1"/>
  <c r="R67" i="18" s="1"/>
  <c r="M168" i="18"/>
  <c r="N168" i="18" s="1"/>
  <c r="R168" i="18" s="1"/>
  <c r="M76" i="18"/>
  <c r="N76" i="18" s="1"/>
  <c r="R76" i="18" s="1"/>
  <c r="M66" i="18"/>
  <c r="N66" i="18" s="1"/>
  <c r="R66" i="18" s="1"/>
  <c r="M38" i="18"/>
  <c r="N38" i="18" s="1"/>
  <c r="R38" i="18" s="1"/>
  <c r="M91" i="18"/>
  <c r="N91" i="18" s="1"/>
  <c r="R91" i="18" s="1"/>
  <c r="M176" i="18"/>
  <c r="N176" i="18" s="1"/>
  <c r="R176" i="18" s="1"/>
  <c r="M63" i="18"/>
  <c r="N63" i="18" s="1"/>
  <c r="R63" i="18" s="1"/>
  <c r="M119" i="18"/>
  <c r="N119" i="18" s="1"/>
  <c r="R119" i="18" s="1"/>
  <c r="M208" i="18"/>
  <c r="N208" i="18" s="1"/>
  <c r="R208" i="18" s="1"/>
  <c r="M186" i="18"/>
  <c r="N186" i="18" s="1"/>
  <c r="R186" i="18" s="1"/>
  <c r="M60" i="18"/>
  <c r="N60" i="18" s="1"/>
  <c r="R60" i="18" s="1"/>
  <c r="M195" i="18"/>
  <c r="N195" i="18" s="1"/>
  <c r="R195" i="18" s="1"/>
  <c r="M25" i="18"/>
  <c r="N25" i="18" s="1"/>
  <c r="R25" i="18" s="1"/>
  <c r="M74" i="18"/>
  <c r="N74" i="18" s="1"/>
  <c r="R74" i="18" s="1"/>
  <c r="M20" i="18"/>
  <c r="M139" i="18"/>
  <c r="N139" i="18" s="1"/>
  <c r="R139" i="18" s="1"/>
  <c r="M153" i="18"/>
  <c r="N153" i="18" s="1"/>
  <c r="R153" i="18" s="1"/>
  <c r="M84" i="18"/>
  <c r="N84" i="18" s="1"/>
  <c r="R84" i="18" s="1"/>
  <c r="M188" i="18"/>
  <c r="N188" i="18" s="1"/>
  <c r="R188" i="18" s="1"/>
  <c r="M59" i="18"/>
  <c r="N59" i="18" s="1"/>
  <c r="R59" i="18" s="1"/>
  <c r="M121" i="18"/>
  <c r="N121" i="18" s="1"/>
  <c r="R121" i="18" s="1"/>
  <c r="M51" i="18"/>
  <c r="N51" i="18" s="1"/>
  <c r="R51" i="18" s="1"/>
  <c r="M55" i="18"/>
  <c r="N55" i="18" s="1"/>
  <c r="R55" i="18" s="1"/>
  <c r="M141" i="18"/>
  <c r="N141" i="18" s="1"/>
  <c r="R141" i="18" s="1"/>
  <c r="M31" i="18"/>
  <c r="N31" i="18" s="1"/>
  <c r="R31" i="18" s="1"/>
  <c r="M118" i="18"/>
  <c r="N118" i="18" s="1"/>
  <c r="R118" i="18" s="1"/>
  <c r="M179" i="18"/>
  <c r="N179" i="18" s="1"/>
  <c r="R179" i="18" s="1"/>
  <c r="M131" i="18"/>
  <c r="N131" i="18" s="1"/>
  <c r="R131" i="18" s="1"/>
  <c r="M100" i="18"/>
  <c r="N100" i="18" s="1"/>
  <c r="R100" i="18" s="1"/>
  <c r="M81" i="18"/>
  <c r="N81" i="18" s="1"/>
  <c r="R81" i="18" s="1"/>
  <c r="M123" i="18"/>
  <c r="N123" i="18" s="1"/>
  <c r="R123" i="18" s="1"/>
  <c r="M13" i="18" l="1"/>
  <c r="N56" i="18"/>
  <c r="M212" i="18"/>
  <c r="N20" i="18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<sst xmlns="http://schemas.openxmlformats.org/spreadsheetml/2006/main" count="418" uniqueCount="100">
  <si>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</si>
  <si>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</si>
  <si>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</si>
  <si>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</si>
  <si>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</si>
  <si>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</si>
  <si>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</si>
  <si>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</si>
  <si>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</si>
  <si>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</si>
  <si>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</si>
  <si>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</si>
  <si>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</si>
  <si>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</si>
  <si>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</si>
  <si>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</si>
  <si>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</si>
  <si>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</si>
  <si>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</si>
  <si>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</si>
  <si>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</si>
  <si>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</si>
  <si>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</si>
  <si>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</si>
  <si>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</si>
  <si>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</si>
  <si>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</si>
  <si>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</si>
  <si>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</si>
  <si>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</si>
  <si>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</si>
  <si>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</si>
  <si>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</si>
  <si>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</si>
  <si>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</si>
  <si>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</si>
  <si>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</si>
  <si>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</si>
  <si>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</si>
  <si>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</si>
  <si>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</si>
  <si>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</si>
  <si>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</si>
  <si>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</si>
  <si>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</si>
  <si>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</si>
  <si>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</si>
  <si>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</si>
  <si>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</si>
  <si>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</si>
  <si>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</si>
  <si>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</si>
  <si>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</si>
  <si>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</si>
  <si>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</si>
  <si>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</si>
  <si>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</si>
  <si>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</si>
  <si>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</si>
  <si>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</si>
  <si>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</si>
  <si>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</si>
  <si>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</si>
  <si>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</si>
  <si>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</si>
  <si>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</si>
  <si>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</si>
  <si>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</si>
  <si>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</si>
  <si>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</si>
  <si>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</si>
  <si>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</si>
  <si>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</si>
  <si>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</si>
  <si>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</si>
  <si>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</si>
  <si>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</si>
  <si>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</si>
  <si>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</si>
  <si>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</si>
  <si>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</si>
  <si>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</si>
  <si>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</si>
  <si>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</si>
  <si>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</si>
  <si>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</si>
  <si>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</si>
  <si>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</si>
  <si>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</si>
  <si>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</si>
  <si>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</si>
  <si>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</si>
  <si>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</si>
  <si>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</si>
  <si>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</si>
  <si>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</si>
  <si>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AEPTCo Formula Rate -- FERC Docket ER18-194</t>
  </si>
  <si>
    <t>Network Customer True-Up (Schedule 1 charges)</t>
  </si>
  <si>
    <t xml:space="preserve">    &lt;&lt; SOUTHWESTERN TRANSMISSION COMPANY &gt;&gt;</t>
  </si>
  <si>
    <t>2023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</si>
</sst>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0" fontId="0" fillId="0" borderId="26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7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5" xfId="0" applyBorder="1" applyProtection="1"/>
    <xf numFmtId="0" fontId="0" fillId="0" borderId="36" xfId="0" applyBorder="1" applyProtection="1"/>
    <xf numFmtId="0" fontId="0" fillId="0" borderId="35" xfId="0" pivotButton="1" applyBorder="1" applyProtection="1"/>
    <xf numFmtId="0" fontId="0" fillId="0" borderId="37" xfId="0" applyBorder="1" applyProtection="1"/>
    <xf numFmtId="17" fontId="0" fillId="0" borderId="35" xfId="0" applyNumberFormat="1" applyBorder="1" applyProtection="1"/>
    <xf numFmtId="17" fontId="0" fillId="0" borderId="38" xfId="0" applyNumberFormat="1" applyBorder="1" applyProtection="1"/>
    <xf numFmtId="17" fontId="0" fillId="0" borderId="39" xfId="0" applyNumberFormat="1" applyBorder="1" applyProtection="1"/>
    <xf numFmtId="166" fontId="0" fillId="0" borderId="35" xfId="0" applyNumberFormat="1" applyBorder="1" applyProtection="1"/>
    <xf numFmtId="166" fontId="0" fillId="0" borderId="38" xfId="0" applyNumberFormat="1" applyBorder="1" applyProtection="1"/>
    <xf numFmtId="166" fontId="0" fillId="0" borderId="39" xfId="0" applyNumberFormat="1" applyBorder="1" applyProtection="1"/>
    <xf numFmtId="0" fontId="0" fillId="0" borderId="40" xfId="0" applyBorder="1" applyProtection="1"/>
    <xf numFmtId="166" fontId="0" fillId="0" borderId="40" xfId="0" applyNumberFormat="1" applyBorder="1" applyProtection="1"/>
    <xf numFmtId="166" fontId="0" fillId="0" borderId="41" xfId="0" applyNumberFormat="1" applyBorder="1" applyProtection="1"/>
    <xf numFmtId="0" fontId="0" fillId="0" borderId="42" xfId="0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1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1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1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1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1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7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3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5" xfId="0" applyBorder="1" applyProtection="1"/>
    <xf numFmtId="0" fontId="0" fillId="0" borderId="46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64" fontId="4" fillId="0" borderId="14" xfId="0" quotePrefix="1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6" fontId="25" fillId="0" borderId="40" xfId="0" applyNumberFormat="1" applyFont="1" applyBorder="1" applyProtection="1"/>
    <xf numFmtId="166" fontId="25" fillId="0" borderId="0" xfId="0" applyNumberFormat="1" applyFont="1" applyProtection="1"/>
    <xf numFmtId="166" fontId="25" fillId="0" borderId="41" xfId="0" applyNumberFormat="1" applyFont="1" applyBorder="1" applyProtection="1"/>
    <xf numFmtId="166" fontId="25" fillId="0" borderId="35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39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436.310495601851" createdVersion="6" refreshedVersion="8" recordCount="192" xr:uid="{00000000-000A-0000-FFFF-FFFFA2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3-12-02T00:00:00" count="168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3-02-03T00:00:00" maxDate="2024-01-04T00:00:00"/>
    </cacheField>
    <cacheField name="Payment Received*" numFmtId="14">
      <sharedItems containsSemiMixedTypes="0" containsNonDate="0" containsDate="1" containsString="0" minDate="2023-02-24T00:00:00" maxDate="2024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65"/>
    </cacheField>
    <cacheField name="Projected Rate (as Invoiced)" numFmtId="164">
      <sharedItems containsSemiMixedTypes="0" containsString="0" containsNumber="1" minValue="5.8995013464481114E-4" maxValue="5.8995013464481114E-4"/>
    </cacheField>
    <cacheField name="Actual True-Up Rate" numFmtId="164">
      <sharedItems containsSemiMixedTypes="0" containsString="0" containsNumber="1" minValue="3.5379387159913887E-4" maxValue="3.5379387159913887E-4"/>
    </cacheField>
    <cacheField name="True-Up Charge" numFmtId="164">
      <sharedItems containsSemiMixedTypes="0" containsString="0" containsNumber="1" minValue="3.5379387159913887E-4" maxValue="1.5089308623703273"/>
    </cacheField>
    <cacheField name="Invoiced*** Charge (proj.)" numFmtId="164">
      <sharedItems containsSemiMixedTypes="0" containsString="0" containsNumber="1" minValue="5.8995013464481114E-4" maxValue="2.5161373242601197"/>
    </cacheField>
    <cacheField name="True-Up w/o Interest" numFmtId="164">
      <sharedItems containsSemiMixedTypes="0" containsString="0" containsNumber="1" minValue="-1.0072064618897925" maxValue="-2.3615626304567227E-4"/>
    </cacheField>
    <cacheField name="Interest" numFmtId="164">
      <sharedItems containsSemiMixedTypes="0" containsString="0" containsNumber="1" minValue="-6.9775340985091819E-2" maxValue="-1.6359986162975808E-5"/>
    </cacheField>
    <cacheField name="2023 True Up Including Interest" numFmtId="164">
      <sharedItems containsSemiMixedTypes="0" containsString="0" containsNumber="1" minValue="-1.0769818028748843" maxValue="-2.5251624920864807E-4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1.0769818028748843" maxValue="-2.5251624920864807E-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3-02-03T00:00:00"/>
    <d v="2023-02-24T00:00:00"/>
    <x v="0"/>
    <n v="9"/>
    <n v="2810"/>
    <n v="5.8995013464481114E-4"/>
    <n v="3.5379387159913887E-4"/>
    <n v="0.99416077919358026"/>
    <n v="1.6577598783519194"/>
    <n v="-0.66359909915833915"/>
    <n v="-4.5971561117962023E-2"/>
    <n v="-0.70957066027630122"/>
    <n v="0"/>
    <n v="0"/>
    <n v="0"/>
    <n v="-0.70957066027630122"/>
  </r>
  <r>
    <x v="1"/>
    <d v="2023-03-03T00:00:00"/>
    <d v="2023-03-24T00:00:00"/>
    <x v="0"/>
    <n v="9"/>
    <n v="2771"/>
    <n v="5.8995013464481114E-4"/>
    <n v="3.5379387159913887E-4"/>
    <n v="0.98036281820121385"/>
    <n v="1.6347518231007716"/>
    <n v="-0.65438900489955776"/>
    <n v="-4.5333521657605964E-2"/>
    <n v="-0.69972252655716372"/>
    <n v="0"/>
    <n v="0"/>
    <n v="0"/>
    <n v="-0.69972252655716372"/>
  </r>
  <r>
    <x v="2"/>
    <d v="2023-04-05T00:00:00"/>
    <d v="2023-04-24T00:00:00"/>
    <x v="0"/>
    <n v="9"/>
    <n v="2389"/>
    <n v="5.8995013464481114E-4"/>
    <n v="3.5379387159913887E-4"/>
    <n v="0.84521355925034281"/>
    <n v="1.4093908716664538"/>
    <n v="-0.56417731241611102"/>
    <n v="-3.9084006943349209E-2"/>
    <n v="-0.60326131935946026"/>
    <n v="0"/>
    <n v="0"/>
    <n v="0"/>
    <n v="-0.60326131935946026"/>
  </r>
  <r>
    <x v="3"/>
    <d v="2023-05-03T00:00:00"/>
    <d v="2023-05-24T00:00:00"/>
    <x v="0"/>
    <n v="9"/>
    <n v="2392"/>
    <n v="5.8995013464481114E-4"/>
    <n v="3.5379387159913887E-4"/>
    <n v="0.84627494086514021"/>
    <n v="1.4111607220703883"/>
    <n v="-0.56488578120524813"/>
    <n v="-3.9133086901838136E-2"/>
    <n v="-0.60401886810708627"/>
    <n v="0"/>
    <n v="0"/>
    <n v="0"/>
    <n v="-0.60401886810708627"/>
  </r>
  <r>
    <x v="4"/>
    <d v="2023-06-05T00:00:00"/>
    <d v="2023-06-26T00:00:00"/>
    <x v="0"/>
    <n v="9"/>
    <n v="3231"/>
    <n v="5.8995013464481114E-4"/>
    <n v="3.5379387159913887E-4"/>
    <n v="1.1431079991368176"/>
    <n v="1.9061288850373848"/>
    <n v="-0.76302088590056716"/>
    <n v="-5.2859115292574838E-2"/>
    <n v="-0.81588000119314197"/>
    <n v="0"/>
    <n v="0"/>
    <n v="0"/>
    <n v="-0.81588000119314197"/>
  </r>
  <r>
    <x v="5"/>
    <d v="2023-07-05T00:00:00"/>
    <d v="2023-07-24T00:00:00"/>
    <x v="0"/>
    <n v="9"/>
    <n v="4100"/>
    <n v="5.8995013464481114E-4"/>
    <n v="3.5379387159913887E-4"/>
    <n v="1.4505548735564693"/>
    <n v="2.4187955520437256"/>
    <n v="-0.96824067848725637"/>
    <n v="-6.7075943268200822E-2"/>
    <n v="-1.0353166217554572"/>
    <n v="0"/>
    <n v="0"/>
    <n v="0"/>
    <n v="-1.0353166217554572"/>
  </r>
  <r>
    <x v="6"/>
    <d v="2023-08-03T00:00:00"/>
    <d v="2023-08-24T00:00:00"/>
    <x v="0"/>
    <n v="9"/>
    <n v="3988"/>
    <n v="5.8995013464481114E-4"/>
    <n v="3.5379387159913887E-4"/>
    <n v="1.4109299599373659"/>
    <n v="2.352721136963507"/>
    <n v="-0.94179117702614112"/>
    <n v="-6.5243624817947529E-2"/>
    <n v="-1.0070348018440887"/>
    <n v="0"/>
    <n v="0"/>
    <n v="0"/>
    <n v="-1.0070348018440887"/>
  </r>
  <r>
    <x v="7"/>
    <d v="2023-09-05T00:00:00"/>
    <d v="2023-09-25T00:00:00"/>
    <x v="0"/>
    <n v="9"/>
    <n v="4265"/>
    <n v="5.8995013464481114E-4"/>
    <n v="3.5379387159913887E-4"/>
    <n v="1.5089308623703273"/>
    <n v="2.5161373242601197"/>
    <n v="-1.0072064618897925"/>
    <n v="-6.9775340985091819E-2"/>
    <n v="-1.0769818028748843"/>
    <n v="0"/>
    <n v="0"/>
    <n v="0"/>
    <n v="-1.0769818028748843"/>
  </r>
  <r>
    <x v="8"/>
    <d v="2023-10-04T00:00:00"/>
    <d v="2023-10-24T00:00:00"/>
    <x v="0"/>
    <n v="9"/>
    <n v="4016"/>
    <n v="5.8995013464481114E-4"/>
    <n v="3.5379387159913887E-4"/>
    <n v="1.4208361883421416"/>
    <n v="2.3692397407335615"/>
    <n v="-0.94840355239141982"/>
    <n v="-6.5701704430510849E-2"/>
    <n v="-1.0141052568219306"/>
    <n v="0"/>
    <n v="0"/>
    <n v="0"/>
    <n v="-1.0141052568219306"/>
  </r>
  <r>
    <x v="9"/>
    <d v="2023-11-03T00:00:00"/>
    <d v="2023-11-24T00:00:00"/>
    <x v="0"/>
    <n v="9"/>
    <n v="3105"/>
    <n v="5.8995013464481114E-4"/>
    <n v="3.5379387159913887E-4"/>
    <n v="1.0985299713153263"/>
    <n v="1.8317951680721385"/>
    <n v="-0.73326519675681223"/>
    <n v="-5.0797757036039892E-2"/>
    <n v="-0.78406295379285207"/>
    <n v="0"/>
    <n v="0"/>
    <n v="0"/>
    <n v="-0.78406295379285207"/>
  </r>
  <r>
    <x v="10"/>
    <d v="2023-12-06T00:00:00"/>
    <d v="2023-12-25T00:00:00"/>
    <x v="0"/>
    <n v="9"/>
    <n v="2513"/>
    <n v="5.8995013464481114E-4"/>
    <n v="3.5379387159913887E-4"/>
    <n v="0.88908399932863602"/>
    <n v="1.4825446883624105"/>
    <n v="-0.59346068903377447"/>
    <n v="-4.1112645227558212E-2"/>
    <n v="-0.63457333426133267"/>
    <n v="0"/>
    <n v="0"/>
    <n v="0"/>
    <n v="-0.63457333426133267"/>
  </r>
  <r>
    <x v="11"/>
    <d v="2024-01-03T00:00:00"/>
    <d v="2024-01-24T00:00:00"/>
    <x v="0"/>
    <n v="9"/>
    <n v="2474"/>
    <n v="5.8995013464481114E-4"/>
    <n v="3.5379387159913887E-4"/>
    <n v="0.87528603833626961"/>
    <n v="1.4595366331112627"/>
    <n v="-0.58425059477499308"/>
    <n v="-4.0474605767202153E-2"/>
    <n v="-0.62472520054219527"/>
    <n v="0"/>
    <n v="0"/>
    <n v="0"/>
    <n v="-0.62472520054219527"/>
  </r>
  <r>
    <x v="0"/>
    <d v="2023-02-03T00:00:00"/>
    <d v="2023-02-24T00:00:00"/>
    <x v="1"/>
    <n v="9"/>
    <n v="2724"/>
    <n v="5.8995013464481114E-4"/>
    <n v="3.5379387159913887E-4"/>
    <n v="0.96373450623605428"/>
    <n v="1.6070241667724656"/>
    <n v="-0.64328966053641135"/>
    <n v="-4.4564602307946108E-2"/>
    <n v="-0.68785426284435747"/>
    <n v="0"/>
    <n v="0"/>
    <n v="0"/>
    <n v="-0.68785426284435747"/>
  </r>
  <r>
    <x v="1"/>
    <d v="2023-03-03T00:00:00"/>
    <d v="2023-03-24T00:00:00"/>
    <x v="1"/>
    <n v="9"/>
    <n v="2757"/>
    <n v="5.8995013464481114E-4"/>
    <n v="3.5379387159913887E-4"/>
    <n v="0.97540970399882587"/>
    <n v="1.6264925212157444"/>
    <n v="-0.65108281721691852"/>
    <n v="-4.5104481851324305E-2"/>
    <n v="-0.69618729906824284"/>
    <n v="0"/>
    <n v="0"/>
    <n v="0"/>
    <n v="-0.69618729906824284"/>
  </r>
  <r>
    <x v="2"/>
    <d v="2023-04-05T00:00:00"/>
    <d v="2023-04-24T00:00:00"/>
    <x v="1"/>
    <n v="9"/>
    <n v="2641"/>
    <n v="5.8995013464481114E-4"/>
    <n v="3.5379387159913887E-4"/>
    <n v="0.93436961489332571"/>
    <n v="1.5580583055969461"/>
    <n v="-0.62368869070362043"/>
    <n v="-4.3206723456419113E-2"/>
    <n v="-0.6668954141600395"/>
    <n v="0"/>
    <n v="0"/>
    <n v="0"/>
    <n v="-0.6668954141600395"/>
  </r>
  <r>
    <x v="3"/>
    <d v="2023-05-03T00:00:00"/>
    <d v="2023-05-24T00:00:00"/>
    <x v="1"/>
    <n v="9"/>
    <n v="2417"/>
    <n v="5.8995013464481114E-4"/>
    <n v="3.5379387159913887E-4"/>
    <n v="0.85511978765511865"/>
    <n v="1.4259094754365085"/>
    <n v="-0.57078968778138983"/>
    <n v="-3.9542086555912528E-2"/>
    <n v="-0.61033177433730235"/>
    <n v="0"/>
    <n v="0"/>
    <n v="0"/>
    <n v="-0.61033177433730235"/>
  </r>
  <r>
    <x v="4"/>
    <d v="2023-06-05T00:00:00"/>
    <d v="2023-06-26T00:00:00"/>
    <x v="1"/>
    <n v="9"/>
    <n v="2844"/>
    <n v="5.8995013464481114E-4"/>
    <n v="3.5379387159913887E-4"/>
    <n v="1.006189770827951"/>
    <n v="1.6778181829298429"/>
    <n v="-0.67162841210189184"/>
    <n v="-4.6527800647503198E-2"/>
    <n v="-0.71815621274939501"/>
    <n v="0"/>
    <n v="0"/>
    <n v="0"/>
    <n v="-0.71815621274939501"/>
  </r>
  <r>
    <x v="5"/>
    <d v="2023-07-05T00:00:00"/>
    <d v="2023-07-24T00:00:00"/>
    <x v="1"/>
    <n v="9"/>
    <n v="3500"/>
    <n v="5.8995013464481114E-4"/>
    <n v="3.5379387159913887E-4"/>
    <n v="1.238278550596986"/>
    <n v="2.0648254712568388"/>
    <n v="-0.8265469206598528"/>
    <n v="-5.7259951570415329E-2"/>
    <n v="-0.8838068722302681"/>
    <n v="0"/>
    <n v="0"/>
    <n v="0"/>
    <n v="-0.8838068722302681"/>
  </r>
  <r>
    <x v="6"/>
    <d v="2023-08-03T00:00:00"/>
    <d v="2023-08-24T00:00:00"/>
    <x v="1"/>
    <n v="9"/>
    <n v="3569"/>
    <n v="5.8995013464481114E-4"/>
    <n v="3.5379387159913887E-4"/>
    <n v="1.2626903277373267"/>
    <n v="2.1055320305473311"/>
    <n v="-0.84284170281000437"/>
    <n v="-5.8388790615660664E-2"/>
    <n v="-0.90123049342566508"/>
    <n v="0"/>
    <n v="0"/>
    <n v="0"/>
    <n v="-0.90123049342566508"/>
  </r>
  <r>
    <x v="7"/>
    <d v="2023-09-05T00:00:00"/>
    <d v="2023-09-25T00:00:00"/>
    <x v="1"/>
    <n v="9"/>
    <n v="3766"/>
    <n v="5.8995013464481114E-4"/>
    <n v="3.5379387159913887E-4"/>
    <n v="1.3323877204423571"/>
    <n v="2.2217522070723588"/>
    <n v="-0.88936448663000167"/>
    <n v="-6.1611707889766894E-2"/>
    <n v="-0.95097619451976856"/>
    <n v="0"/>
    <n v="0"/>
    <n v="0"/>
    <n v="-0.95097619451976856"/>
  </r>
  <r>
    <x v="8"/>
    <d v="2023-10-04T00:00:00"/>
    <d v="2023-10-24T00:00:00"/>
    <x v="1"/>
    <n v="9"/>
    <n v="3456"/>
    <n v="5.8995013464481114E-4"/>
    <n v="3.5379387159913887E-4"/>
    <n v="1.2227116202466239"/>
    <n v="2.0388676653324671"/>
    <n v="-0.81615604508584316"/>
    <n v="-5.6540112179244401E-2"/>
    <n v="-0.87269615726508754"/>
    <n v="0"/>
    <n v="0"/>
    <n v="0"/>
    <n v="-0.87269615726508754"/>
  </r>
  <r>
    <x v="9"/>
    <d v="2023-11-03T00:00:00"/>
    <d v="2023-11-24T00:00:00"/>
    <x v="1"/>
    <n v="9"/>
    <n v="2810"/>
    <n v="5.8995013464481114E-4"/>
    <n v="3.5379387159913887E-4"/>
    <n v="0.99416077919358026"/>
    <n v="1.6577598783519194"/>
    <n v="-0.66359909915833915"/>
    <n v="-4.5971561117962023E-2"/>
    <n v="-0.70957066027630122"/>
    <n v="0"/>
    <n v="0"/>
    <n v="0"/>
    <n v="-0.70957066027630122"/>
  </r>
  <r>
    <x v="10"/>
    <d v="2023-12-06T00:00:00"/>
    <d v="2023-12-25T00:00:00"/>
    <x v="1"/>
    <n v="9"/>
    <n v="2499"/>
    <n v="5.8995013464481114E-4"/>
    <n v="3.5379387159913887E-4"/>
    <n v="0.88413088512624805"/>
    <n v="1.4742853864773831"/>
    <n v="-0.59015450135113501"/>
    <n v="-4.0883605421276552E-2"/>
    <n v="-0.63103810677241157"/>
    <n v="0"/>
    <n v="0"/>
    <n v="0"/>
    <n v="-0.63103810677241157"/>
  </r>
  <r>
    <x v="11"/>
    <d v="2024-01-03T00:00:00"/>
    <d v="2024-01-24T00:00:00"/>
    <x v="1"/>
    <n v="9"/>
    <n v="2532"/>
    <n v="5.8995013464481114E-4"/>
    <n v="3.5379387159913887E-4"/>
    <n v="0.89580608288901964"/>
    <n v="1.4937537409206618"/>
    <n v="-0.59794765803164218"/>
    <n v="-4.1423484964654748E-2"/>
    <n v="-0.63937114299629694"/>
    <n v="0"/>
    <n v="0"/>
    <n v="0"/>
    <n v="-0.63937114299629694"/>
  </r>
  <r>
    <x v="0"/>
    <d v="2023-02-03T00:00:00"/>
    <d v="2023-02-24T00:00:00"/>
    <x v="2"/>
    <n v="9"/>
    <n v="137"/>
    <n v="5.8995013464481114E-4"/>
    <n v="3.5379387159913887E-4"/>
    <n v="4.8469760409082026E-2"/>
    <n v="8.0823168446339133E-2"/>
    <n v="-3.2353408037257107E-2"/>
    <n v="-2.2413181043276858E-3"/>
    <n v="-3.4594726141584792E-2"/>
    <n v="0"/>
    <n v="0"/>
    <n v="0"/>
    <n v="-3.4594726141584792E-2"/>
  </r>
  <r>
    <x v="1"/>
    <d v="2023-03-03T00:00:00"/>
    <d v="2023-03-24T00:00:00"/>
    <x v="2"/>
    <n v="9"/>
    <n v="132"/>
    <n v="5.8995013464481114E-4"/>
    <n v="3.5379387159913887E-4"/>
    <n v="4.6700791051086328E-2"/>
    <n v="7.7873417773115072E-2"/>
    <n v="-3.1172626722028744E-2"/>
    <n v="-2.159518173512807E-3"/>
    <n v="-3.3332144895541552E-2"/>
    <n v="0"/>
    <n v="0"/>
    <n v="0"/>
    <n v="-3.3332144895541552E-2"/>
  </r>
  <r>
    <x v="2"/>
    <d v="2023-04-05T00:00:00"/>
    <d v="2023-04-24T00:00:00"/>
    <x v="2"/>
    <n v="9"/>
    <n v="148"/>
    <n v="5.8995013464481114E-4"/>
    <n v="3.5379387159913887E-4"/>
    <n v="5.2361492996672553E-2"/>
    <n v="8.7312619927432056E-2"/>
    <n v="-3.4951126930759503E-2"/>
    <n v="-2.4212779521204197E-3"/>
    <n v="-3.737240488287992E-2"/>
    <n v="0"/>
    <n v="0"/>
    <n v="0"/>
    <n v="-3.737240488287992E-2"/>
  </r>
  <r>
    <x v="3"/>
    <d v="2023-05-03T00:00:00"/>
    <d v="2023-05-24T00:00:00"/>
    <x v="2"/>
    <n v="9"/>
    <n v="92"/>
    <n v="5.8995013464481114E-4"/>
    <n v="3.5379387159913887E-4"/>
    <n v="3.2549036187120774E-2"/>
    <n v="5.4275412387322627E-2"/>
    <n v="-2.1726376200201854E-2"/>
    <n v="-1.5051187269937744E-3"/>
    <n v="-2.3231494927195628E-2"/>
    <n v="0"/>
    <n v="0"/>
    <n v="0"/>
    <n v="-2.3231494927195628E-2"/>
  </r>
  <r>
    <x v="4"/>
    <d v="2023-06-05T00:00:00"/>
    <d v="2023-06-26T00:00:00"/>
    <x v="2"/>
    <n v="9"/>
    <n v="104"/>
    <n v="5.8995013464481114E-4"/>
    <n v="3.5379387159913887E-4"/>
    <n v="3.6794562646310446E-2"/>
    <n v="6.1354814003060358E-2"/>
    <n v="-2.4560251356749913E-2"/>
    <n v="-1.7014385609494839E-3"/>
    <n v="-2.6261689917699397E-2"/>
    <n v="0"/>
    <n v="0"/>
    <n v="0"/>
    <n v="-2.6261689917699397E-2"/>
  </r>
  <r>
    <x v="5"/>
    <d v="2023-07-05T00:00:00"/>
    <d v="2023-07-24T00:00:00"/>
    <x v="2"/>
    <n v="9"/>
    <n v="156"/>
    <n v="5.8995013464481114E-4"/>
    <n v="3.5379387159913887E-4"/>
    <n v="5.5191843969465665E-2"/>
    <n v="9.2032221004590534E-2"/>
    <n v="-3.6840377035124869E-2"/>
    <n v="-2.5521578414242265E-3"/>
    <n v="-3.9392534876549097E-2"/>
    <n v="0"/>
    <n v="0"/>
    <n v="0"/>
    <n v="-3.9392534876549097E-2"/>
  </r>
  <r>
    <x v="6"/>
    <d v="2023-08-03T00:00:00"/>
    <d v="2023-08-24T00:00:00"/>
    <x v="2"/>
    <n v="9"/>
    <n v="155"/>
    <n v="5.8995013464481114E-4"/>
    <n v="3.5379387159913887E-4"/>
    <n v="5.4838050097866527E-2"/>
    <n v="9.1442270869945733E-2"/>
    <n v="-3.6604220772079206E-2"/>
    <n v="-2.5357978552612505E-3"/>
    <n v="-3.9140018627340456E-2"/>
    <n v="0"/>
    <n v="0"/>
    <n v="0"/>
    <n v="-3.9140018627340456E-2"/>
  </r>
  <r>
    <x v="7"/>
    <d v="2023-09-05T00:00:00"/>
    <d v="2023-09-25T00:00:00"/>
    <x v="2"/>
    <n v="9"/>
    <n v="159"/>
    <n v="5.8995013464481114E-4"/>
    <n v="3.5379387159913887E-4"/>
    <n v="5.6253225584263079E-2"/>
    <n v="9.3802071408524978E-2"/>
    <n v="-3.7548845824261899E-2"/>
    <n v="-2.6012377999131537E-3"/>
    <n v="-4.0150083624175055E-2"/>
    <n v="0"/>
    <n v="0"/>
    <n v="0"/>
    <n v="-4.0150083624175055E-2"/>
  </r>
  <r>
    <x v="8"/>
    <d v="2023-10-04T00:00:00"/>
    <d v="2023-10-24T00:00:00"/>
    <x v="2"/>
    <n v="9"/>
    <n v="144"/>
    <n v="5.8995013464481114E-4"/>
    <n v="3.5379387159913887E-4"/>
    <n v="5.0946317510276E-2"/>
    <n v="8.495281938885281E-2"/>
    <n v="-3.400650187857681E-2"/>
    <n v="-2.3558380074685165E-3"/>
    <n v="-3.6362339886045328E-2"/>
    <n v="0"/>
    <n v="0"/>
    <n v="0"/>
    <n v="-3.6362339886045328E-2"/>
  </r>
  <r>
    <x v="9"/>
    <d v="2023-11-03T00:00:00"/>
    <d v="2023-11-24T00:00:00"/>
    <x v="2"/>
    <n v="9"/>
    <n v="117"/>
    <n v="5.8995013464481114E-4"/>
    <n v="3.5379387159913887E-4"/>
    <n v="4.1393882977099249E-2"/>
    <n v="6.9024165753442904E-2"/>
    <n v="-2.7630282776343655E-2"/>
    <n v="-1.9141183810681699E-3"/>
    <n v="-2.9544401157411825E-2"/>
    <n v="0"/>
    <n v="0"/>
    <n v="0"/>
    <n v="-2.9544401157411825E-2"/>
  </r>
  <r>
    <x v="10"/>
    <d v="2023-12-06T00:00:00"/>
    <d v="2023-12-25T00:00:00"/>
    <x v="2"/>
    <n v="9"/>
    <n v="134"/>
    <n v="5.8995013464481114E-4"/>
    <n v="3.5379387159913887E-4"/>
    <n v="4.7408378794284611E-2"/>
    <n v="7.9053318042404688E-2"/>
    <n v="-3.1644939248120077E-2"/>
    <n v="-2.1922381458387586E-3"/>
    <n v="-3.3837177393958834E-2"/>
    <n v="0"/>
    <n v="0"/>
    <n v="0"/>
    <n v="-3.3837177393958834E-2"/>
  </r>
  <r>
    <x v="11"/>
    <d v="2024-01-03T00:00:00"/>
    <d v="2024-01-24T00:00:00"/>
    <x v="2"/>
    <n v="9"/>
    <n v="145"/>
    <n v="5.8995013464481114E-4"/>
    <n v="3.5379387159913887E-4"/>
    <n v="5.1300111381875138E-2"/>
    <n v="8.5542769523497611E-2"/>
    <n v="-3.4242658141622473E-2"/>
    <n v="-2.3721979936314926E-3"/>
    <n v="-3.6614856135253962E-2"/>
    <n v="0"/>
    <n v="0"/>
    <n v="0"/>
    <n v="-3.6614856135253962E-2"/>
  </r>
  <r>
    <x v="0"/>
    <d v="2023-02-03T00:00:00"/>
    <d v="2023-02-24T00:00:00"/>
    <x v="3"/>
    <n v="9"/>
    <n v="828"/>
    <n v="5.8995013464481114E-4"/>
    <n v="3.5379387159913887E-4"/>
    <n v="0.29294132568408698"/>
    <n v="0.48847871148590361"/>
    <n v="-0.19553738580181662"/>
    <n v="-1.3546068542943971E-2"/>
    <n v="-0.20908345434476058"/>
    <n v="0"/>
    <n v="0"/>
    <n v="0"/>
    <n v="-0.20908345434476058"/>
  </r>
  <r>
    <x v="1"/>
    <d v="2023-03-03T00:00:00"/>
    <d v="2023-03-24T00:00:00"/>
    <x v="3"/>
    <n v="9"/>
    <n v="786"/>
    <n v="5.8995013464481114E-4"/>
    <n v="3.5379387159913887E-4"/>
    <n v="0.27808198307692317"/>
    <n v="0.46370080583082157"/>
    <n v="-0.1856188227538984"/>
    <n v="-1.2858949124098986E-2"/>
    <n v="-0.19847777187799739"/>
    <n v="0"/>
    <n v="0"/>
    <n v="0"/>
    <n v="-0.19847777187799739"/>
  </r>
  <r>
    <x v="2"/>
    <d v="2023-04-05T00:00:00"/>
    <d v="2023-04-24T00:00:00"/>
    <x v="3"/>
    <n v="9"/>
    <n v="702"/>
    <n v="5.8995013464481114E-4"/>
    <n v="3.5379387159913887E-4"/>
    <n v="0.24836329786259548"/>
    <n v="0.41414499452065745"/>
    <n v="-0.16578169665806197"/>
    <n v="-1.1484710286409018E-2"/>
    <n v="-0.17726640694447099"/>
    <n v="0"/>
    <n v="0"/>
    <n v="0"/>
    <n v="-0.17726640694447099"/>
  </r>
  <r>
    <x v="3"/>
    <d v="2023-05-03T00:00:00"/>
    <d v="2023-05-24T00:00:00"/>
    <x v="3"/>
    <n v="9"/>
    <n v="519"/>
    <n v="5.8995013464481114E-4"/>
    <n v="3.5379387159913887E-4"/>
    <n v="0.18361901935995306"/>
    <n v="0.30618411988065697"/>
    <n v="-0.12256510052070391"/>
    <n v="-8.4908328185844453E-3"/>
    <n v="-0.13105593333928836"/>
    <n v="0"/>
    <n v="0"/>
    <n v="0"/>
    <n v="-0.13105593333928836"/>
  </r>
  <r>
    <x v="4"/>
    <d v="2023-06-05T00:00:00"/>
    <d v="2023-06-26T00:00:00"/>
    <x v="3"/>
    <n v="9"/>
    <n v="720"/>
    <n v="5.8995013464481114E-4"/>
    <n v="3.5379387159913887E-4"/>
    <n v="0.25473158755137998"/>
    <n v="0.42476409694426404"/>
    <n v="-0.17003250939288406"/>
    <n v="-1.1779190037342582E-2"/>
    <n v="-0.18181169943022663"/>
    <n v="0"/>
    <n v="0"/>
    <n v="0"/>
    <n v="-0.18181169943022663"/>
  </r>
  <r>
    <x v="5"/>
    <d v="2023-07-05T00:00:00"/>
    <d v="2023-07-24T00:00:00"/>
    <x v="3"/>
    <n v="9"/>
    <n v="975"/>
    <n v="5.8995013464481114E-4"/>
    <n v="3.5379387159913887E-4"/>
    <n v="0.3449490248091604"/>
    <n v="0.57520138127869092"/>
    <n v="-0.23025235646953052"/>
    <n v="-1.5950986508901414E-2"/>
    <n v="-0.24620334297843194"/>
    <n v="0"/>
    <n v="0"/>
    <n v="0"/>
    <n v="-0.24620334297843194"/>
  </r>
  <r>
    <x v="6"/>
    <d v="2023-08-03T00:00:00"/>
    <d v="2023-08-24T00:00:00"/>
    <x v="3"/>
    <n v="9"/>
    <n v="924"/>
    <n v="5.8995013464481114E-4"/>
    <n v="3.5379387159913887E-4"/>
    <n v="0.3269055373576043"/>
    <n v="0.54511392441180551"/>
    <n v="-0.2182083870542012"/>
    <n v="-1.5116627214589647E-2"/>
    <n v="-0.23332501426879085"/>
    <n v="0"/>
    <n v="0"/>
    <n v="0"/>
    <n v="-0.23332501426879085"/>
  </r>
  <r>
    <x v="7"/>
    <d v="2023-09-05T00:00:00"/>
    <d v="2023-09-25T00:00:00"/>
    <x v="3"/>
    <n v="9"/>
    <n v="1053"/>
    <n v="5.8995013464481114E-4"/>
    <n v="3.5379387159913887E-4"/>
    <n v="0.37254494679389322"/>
    <n v="0.62121749178098618"/>
    <n v="-0.24867254498709296"/>
    <n v="-1.7227065429613529E-2"/>
    <n v="-0.26589961041670651"/>
    <n v="0"/>
    <n v="0"/>
    <n v="0"/>
    <n v="-0.26589961041670651"/>
  </r>
  <r>
    <x v="8"/>
    <d v="2023-10-04T00:00:00"/>
    <d v="2023-10-24T00:00:00"/>
    <x v="3"/>
    <n v="9"/>
    <n v="905"/>
    <n v="5.8995013464481114E-4"/>
    <n v="3.5379387159913887E-4"/>
    <n v="0.32018345379722069"/>
    <n v="0.53390487185355406"/>
    <n v="-0.21372141805633338"/>
    <n v="-1.4805787477493107E-2"/>
    <n v="-0.22852720553382649"/>
    <n v="0"/>
    <n v="0"/>
    <n v="0"/>
    <n v="-0.22852720553382649"/>
  </r>
  <r>
    <x v="9"/>
    <d v="2023-11-03T00:00:00"/>
    <d v="2023-11-24T00:00:00"/>
    <x v="3"/>
    <n v="9"/>
    <n v="694"/>
    <n v="5.8995013464481114E-4"/>
    <n v="3.5379387159913887E-4"/>
    <n v="0.24553294688980237"/>
    <n v="0.40942539344349893"/>
    <n v="-0.16389244655369656"/>
    <n v="-1.1353830397105212E-2"/>
    <n v="-0.17524627695080178"/>
    <n v="0"/>
    <n v="0"/>
    <n v="0"/>
    <n v="-0.17524627695080178"/>
  </r>
  <r>
    <x v="10"/>
    <d v="2023-12-06T00:00:00"/>
    <d v="2023-12-25T00:00:00"/>
    <x v="3"/>
    <n v="9"/>
    <n v="736"/>
    <n v="5.8995013464481114E-4"/>
    <n v="3.5379387159913887E-4"/>
    <n v="0.26039228949696619"/>
    <n v="0.43420329909858102"/>
    <n v="-0.17381100960161483"/>
    <n v="-1.2040949815950195E-2"/>
    <n v="-0.18585195941756502"/>
    <n v="0"/>
    <n v="0"/>
    <n v="0"/>
    <n v="-0.18585195941756502"/>
  </r>
  <r>
    <x v="11"/>
    <d v="2024-01-03T00:00:00"/>
    <d v="2024-01-24T00:00:00"/>
    <x v="3"/>
    <n v="9"/>
    <n v="713"/>
    <n v="5.8995013464481114E-4"/>
    <n v="3.5379387159913887E-4"/>
    <n v="0.25225503045018599"/>
    <n v="0.42063444600175037"/>
    <n v="-0.16837941555156438"/>
    <n v="-1.1664670134201752E-2"/>
    <n v="-0.18004408568576613"/>
    <n v="0"/>
    <n v="0"/>
    <n v="0"/>
    <n v="-0.18004408568576613"/>
  </r>
  <r>
    <x v="0"/>
    <d v="2023-02-03T00:00:00"/>
    <d v="2023-02-24T00:00:00"/>
    <x v="4"/>
    <n v="9"/>
    <n v="44"/>
    <n v="5.8995013464481114E-4"/>
    <n v="3.5379387159913887E-4"/>
    <n v="1.5566930350362111E-2"/>
    <n v="2.5957805924371691E-2"/>
    <n v="-1.039087557400958E-2"/>
    <n v="-7.198393911709356E-4"/>
    <n v="-1.1110714965180516E-2"/>
    <n v="0"/>
    <n v="0"/>
    <n v="0"/>
    <n v="-1.1110714965180516E-2"/>
  </r>
  <r>
    <x v="1"/>
    <d v="2023-03-03T00:00:00"/>
    <d v="2023-03-24T00:00:00"/>
    <x v="4"/>
    <n v="9"/>
    <n v="42"/>
    <n v="5.8995013464481114E-4"/>
    <n v="3.5379387159913887E-4"/>
    <n v="1.4859342607163832E-2"/>
    <n v="2.4777905655082068E-2"/>
    <n v="-9.9185630479182354E-3"/>
    <n v="-6.8711941884498401E-4"/>
    <n v="-1.060568246676322E-2"/>
    <n v="0"/>
    <n v="0"/>
    <n v="0"/>
    <n v="-1.060568246676322E-2"/>
  </r>
  <r>
    <x v="2"/>
    <d v="2023-04-05T00:00:00"/>
    <d v="2023-04-24T00:00:00"/>
    <x v="4"/>
    <n v="9"/>
    <n v="37"/>
    <n v="5.8995013464481114E-4"/>
    <n v="3.5379387159913887E-4"/>
    <n v="1.3090373249168138E-2"/>
    <n v="2.1828154981858014E-2"/>
    <n v="-8.7377817326898758E-3"/>
    <n v="-6.0531948803010493E-4"/>
    <n v="-9.34310122071998E-3"/>
    <n v="0"/>
    <n v="0"/>
    <n v="0"/>
    <n v="-9.34310122071998E-3"/>
  </r>
  <r>
    <x v="3"/>
    <d v="2023-05-03T00:00:00"/>
    <d v="2023-05-24T00:00:00"/>
    <x v="4"/>
    <n v="9"/>
    <n v="27"/>
    <n v="5.8995013464481114E-4"/>
    <n v="3.5379387159913887E-4"/>
    <n v="9.5524345331767496E-3"/>
    <n v="1.5928653635409899E-2"/>
    <n v="-6.3762191022331497E-3"/>
    <n v="-4.4171962640034688E-4"/>
    <n v="-6.8179387286334964E-3"/>
    <n v="0"/>
    <n v="0"/>
    <n v="0"/>
    <n v="-6.8179387286334964E-3"/>
  </r>
  <r>
    <x v="4"/>
    <d v="2023-06-05T00:00:00"/>
    <d v="2023-06-26T00:00:00"/>
    <x v="4"/>
    <n v="9"/>
    <n v="42"/>
    <n v="5.8995013464481114E-4"/>
    <n v="3.5379387159913887E-4"/>
    <n v="1.4859342607163832E-2"/>
    <n v="2.4777905655082068E-2"/>
    <n v="-9.9185630479182354E-3"/>
    <n v="-6.8711941884498401E-4"/>
    <n v="-1.060568246676322E-2"/>
    <n v="0"/>
    <n v="0"/>
    <n v="0"/>
    <n v="-1.060568246676322E-2"/>
  </r>
  <r>
    <x v="5"/>
    <d v="2023-07-05T00:00:00"/>
    <d v="2023-07-24T00:00:00"/>
    <x v="4"/>
    <n v="9"/>
    <n v="56"/>
    <n v="5.8995013464481114E-4"/>
    <n v="3.5379387159913887E-4"/>
    <n v="1.9812456809551775E-2"/>
    <n v="3.3037207540109421E-2"/>
    <n v="-1.3224750730557646E-2"/>
    <n v="-9.1615922512664535E-4"/>
    <n v="-1.4140909955684292E-2"/>
    <n v="0"/>
    <n v="0"/>
    <n v="0"/>
    <n v="-1.4140909955684292E-2"/>
  </r>
  <r>
    <x v="6"/>
    <d v="2023-08-03T00:00:00"/>
    <d v="2023-08-24T00:00:00"/>
    <x v="4"/>
    <n v="9"/>
    <n v="54"/>
    <n v="5.8995013464481114E-4"/>
    <n v="3.5379387159913887E-4"/>
    <n v="1.9104869066353499E-2"/>
    <n v="3.1857307270819799E-2"/>
    <n v="-1.2752438204466299E-2"/>
    <n v="-8.8343925280069376E-4"/>
    <n v="-1.3635877457266993E-2"/>
    <n v="0"/>
    <n v="0"/>
    <n v="0"/>
    <n v="-1.3635877457266993E-2"/>
  </r>
  <r>
    <x v="7"/>
    <d v="2023-09-05T00:00:00"/>
    <d v="2023-09-25T00:00:00"/>
    <x v="4"/>
    <n v="9"/>
    <n v="59"/>
    <n v="5.8995013464481114E-4"/>
    <n v="3.5379387159913887E-4"/>
    <n v="2.0873838424349193E-2"/>
    <n v="3.4807057944043859E-2"/>
    <n v="-1.3933219519694666E-2"/>
    <n v="-9.6523918361557273E-4"/>
    <n v="-1.4898458703310238E-2"/>
    <n v="0"/>
    <n v="0"/>
    <n v="0"/>
    <n v="-1.4898458703310238E-2"/>
  </r>
  <r>
    <x v="8"/>
    <d v="2023-10-04T00:00:00"/>
    <d v="2023-10-24T00:00:00"/>
    <x v="4"/>
    <n v="9"/>
    <n v="54"/>
    <n v="5.8995013464481114E-4"/>
    <n v="3.5379387159913887E-4"/>
    <n v="1.9104869066353499E-2"/>
    <n v="3.1857307270819799E-2"/>
    <n v="-1.2752438204466299E-2"/>
    <n v="-8.8343925280069376E-4"/>
    <n v="-1.3635877457266993E-2"/>
    <n v="0"/>
    <n v="0"/>
    <n v="0"/>
    <n v="-1.3635877457266993E-2"/>
  </r>
  <r>
    <x v="9"/>
    <d v="2023-11-03T00:00:00"/>
    <d v="2023-11-24T00:00:00"/>
    <x v="4"/>
    <n v="9"/>
    <n v="37"/>
    <n v="5.8995013464481114E-4"/>
    <n v="3.5379387159913887E-4"/>
    <n v="1.3090373249168138E-2"/>
    <n v="2.1828154981858014E-2"/>
    <n v="-8.7377817326898758E-3"/>
    <n v="-6.0531948803010493E-4"/>
    <n v="-9.34310122071998E-3"/>
    <n v="0"/>
    <n v="0"/>
    <n v="0"/>
    <n v="-9.34310122071998E-3"/>
  </r>
  <r>
    <x v="10"/>
    <d v="2023-12-06T00:00:00"/>
    <d v="2023-12-25T00:00:00"/>
    <x v="4"/>
    <n v="9"/>
    <n v="38"/>
    <n v="5.8995013464481114E-4"/>
    <n v="3.5379387159913887E-4"/>
    <n v="1.3444167120767276E-2"/>
    <n v="2.2418105116502822E-2"/>
    <n v="-8.9739379957355456E-3"/>
    <n v="-6.2167947419308083E-4"/>
    <n v="-9.5956174699286263E-3"/>
    <n v="0"/>
    <n v="0"/>
    <n v="0"/>
    <n v="-9.5956174699286263E-3"/>
  </r>
  <r>
    <x v="11"/>
    <d v="2024-01-03T00:00:00"/>
    <d v="2024-01-24T00:00:00"/>
    <x v="4"/>
    <n v="9"/>
    <n v="35"/>
    <n v="5.8995013464481114E-4"/>
    <n v="3.5379387159913887E-4"/>
    <n v="1.238278550596986E-2"/>
    <n v="2.0648254712568391E-2"/>
    <n v="-8.2654692065985309E-3"/>
    <n v="-5.7259951570415334E-4"/>
    <n v="-8.8380687223026839E-3"/>
    <n v="0"/>
    <n v="0"/>
    <n v="0"/>
    <n v="-8.8380687223026839E-3"/>
  </r>
  <r>
    <x v="0"/>
    <d v="2023-02-03T00:00:00"/>
    <d v="2023-02-24T00:00:00"/>
    <x v="5"/>
    <n v="9"/>
    <n v="53"/>
    <n v="5.8995013464481114E-4"/>
    <n v="3.5379387159913887E-4"/>
    <n v="1.8751075194754361E-2"/>
    <n v="3.1267357136174991E-2"/>
    <n v="-1.251628194142063E-2"/>
    <n v="-8.6707926663771796E-4"/>
    <n v="-1.3383361208058348E-2"/>
    <n v="0"/>
    <n v="0"/>
    <n v="0"/>
    <n v="-1.3383361208058348E-2"/>
  </r>
  <r>
    <x v="1"/>
    <d v="2023-03-03T00:00:00"/>
    <d v="2023-03-24T00:00:00"/>
    <x v="5"/>
    <n v="9"/>
    <n v="55"/>
    <n v="5.8995013464481114E-4"/>
    <n v="3.5379387159913887E-4"/>
    <n v="1.9458662937952637E-2"/>
    <n v="3.2447257405464613E-2"/>
    <n v="-1.2988594467511976E-2"/>
    <n v="-8.9979923896366955E-4"/>
    <n v="-1.3888393706475646E-2"/>
    <n v="0"/>
    <n v="0"/>
    <n v="0"/>
    <n v="-1.3888393706475646E-2"/>
  </r>
  <r>
    <x v="2"/>
    <d v="2023-04-05T00:00:00"/>
    <d v="2023-04-24T00:00:00"/>
    <x v="5"/>
    <n v="9"/>
    <n v="46"/>
    <n v="5.8995013464481114E-4"/>
    <n v="3.5379387159913887E-4"/>
    <n v="1.6274518093560387E-2"/>
    <n v="2.7137706193661314E-2"/>
    <n v="-1.0863188100100927E-2"/>
    <n v="-7.5255936349688719E-4"/>
    <n v="-1.1615747463597814E-2"/>
    <n v="0"/>
    <n v="0"/>
    <n v="0"/>
    <n v="-1.1615747463597814E-2"/>
  </r>
  <r>
    <x v="3"/>
    <d v="2023-05-03T00:00:00"/>
    <d v="2023-05-24T00:00:00"/>
    <x v="5"/>
    <n v="9"/>
    <n v="33"/>
    <n v="5.8995013464481114E-4"/>
    <n v="3.5379387159913887E-4"/>
    <n v="1.1675197762771582E-2"/>
    <n v="1.9468354443278768E-2"/>
    <n v="-7.7931566805071861E-3"/>
    <n v="-5.3987954337820175E-4"/>
    <n v="-8.3330362238853879E-3"/>
    <n v="0"/>
    <n v="0"/>
    <n v="0"/>
    <n v="-8.3330362238853879E-3"/>
  </r>
  <r>
    <x v="4"/>
    <d v="2023-06-05T00:00:00"/>
    <d v="2023-06-26T00:00:00"/>
    <x v="5"/>
    <n v="9"/>
    <n v="44"/>
    <n v="5.8995013464481114E-4"/>
    <n v="3.5379387159913887E-4"/>
    <n v="1.5566930350362111E-2"/>
    <n v="2.5957805924371691E-2"/>
    <n v="-1.039087557400958E-2"/>
    <n v="-7.198393911709356E-4"/>
    <n v="-1.1110714965180516E-2"/>
    <n v="0"/>
    <n v="0"/>
    <n v="0"/>
    <n v="-1.1110714965180516E-2"/>
  </r>
  <r>
    <x v="5"/>
    <d v="2023-07-05T00:00:00"/>
    <d v="2023-07-24T00:00:00"/>
    <x v="5"/>
    <n v="9"/>
    <n v="55"/>
    <n v="5.8995013464481114E-4"/>
    <n v="3.5379387159913887E-4"/>
    <n v="1.9458662937952637E-2"/>
    <n v="3.2447257405464613E-2"/>
    <n v="-1.2988594467511976E-2"/>
    <n v="-8.9979923896366955E-4"/>
    <n v="-1.3888393706475646E-2"/>
    <n v="0"/>
    <n v="0"/>
    <n v="0"/>
    <n v="-1.3888393706475646E-2"/>
  </r>
  <r>
    <x v="6"/>
    <d v="2023-08-03T00:00:00"/>
    <d v="2023-08-24T00:00:00"/>
    <x v="5"/>
    <n v="9"/>
    <n v="57"/>
    <n v="5.8995013464481114E-4"/>
    <n v="3.5379387159913887E-4"/>
    <n v="2.0166250681150917E-2"/>
    <n v="3.3627157674754236E-2"/>
    <n v="-1.3460906993603319E-2"/>
    <n v="-9.3251921128962114E-4"/>
    <n v="-1.439342620489294E-2"/>
    <n v="0"/>
    <n v="0"/>
    <n v="0"/>
    <n v="-1.439342620489294E-2"/>
  </r>
  <r>
    <x v="7"/>
    <d v="2023-09-05T00:00:00"/>
    <d v="2023-09-25T00:00:00"/>
    <x v="5"/>
    <n v="9"/>
    <n v="56"/>
    <n v="5.8995013464481114E-4"/>
    <n v="3.5379387159913887E-4"/>
    <n v="1.9812456809551775E-2"/>
    <n v="3.3037207540109421E-2"/>
    <n v="-1.3224750730557646E-2"/>
    <n v="-9.1615922512664535E-4"/>
    <n v="-1.4140909955684292E-2"/>
    <n v="0"/>
    <n v="0"/>
    <n v="0"/>
    <n v="-1.4140909955684292E-2"/>
  </r>
  <r>
    <x v="8"/>
    <d v="2023-10-04T00:00:00"/>
    <d v="2023-10-24T00:00:00"/>
    <x v="5"/>
    <n v="9"/>
    <n v="60"/>
    <n v="5.8995013464481114E-4"/>
    <n v="3.5379387159913887E-4"/>
    <n v="2.1227632295948332E-2"/>
    <n v="3.5397008078688667E-2"/>
    <n v="-1.4169375782740336E-2"/>
    <n v="-9.8159916977854852E-4"/>
    <n v="-1.5150974952518884E-2"/>
    <n v="0"/>
    <n v="0"/>
    <n v="0"/>
    <n v="-1.5150974952518884E-2"/>
  </r>
  <r>
    <x v="9"/>
    <d v="2023-11-03T00:00:00"/>
    <d v="2023-11-24T00:00:00"/>
    <x v="5"/>
    <n v="9"/>
    <n v="48"/>
    <n v="5.8995013464481114E-4"/>
    <n v="3.5379387159913887E-4"/>
    <n v="1.6982105836758667E-2"/>
    <n v="2.8317606462950937E-2"/>
    <n v="-1.133550062619227E-2"/>
    <n v="-7.8527933582283878E-4"/>
    <n v="-1.2120779962015108E-2"/>
    <n v="0"/>
    <n v="0"/>
    <n v="0"/>
    <n v="-1.2120779962015108E-2"/>
  </r>
  <r>
    <x v="10"/>
    <d v="2023-12-06T00:00:00"/>
    <d v="2023-12-25T00:00:00"/>
    <x v="5"/>
    <n v="9"/>
    <n v="54"/>
    <n v="5.8995013464481114E-4"/>
    <n v="3.5379387159913887E-4"/>
    <n v="1.9104869066353499E-2"/>
    <n v="3.1857307270819799E-2"/>
    <n v="-1.2752438204466299E-2"/>
    <n v="-8.8343925280069376E-4"/>
    <n v="-1.3635877457266993E-2"/>
    <n v="0"/>
    <n v="0"/>
    <n v="0"/>
    <n v="-1.3635877457266993E-2"/>
  </r>
  <r>
    <x v="11"/>
    <d v="2024-01-03T00:00:00"/>
    <d v="2024-01-24T00:00:00"/>
    <x v="5"/>
    <n v="9"/>
    <n v="55"/>
    <n v="5.8995013464481114E-4"/>
    <n v="3.5379387159913887E-4"/>
    <n v="1.9458662937952637E-2"/>
    <n v="3.2447257405464613E-2"/>
    <n v="-1.2988594467511976E-2"/>
    <n v="-8.9979923896366955E-4"/>
    <n v="-1.3888393706475646E-2"/>
    <n v="0"/>
    <n v="0"/>
    <n v="0"/>
    <n v="-1.3888393706475646E-2"/>
  </r>
  <r>
    <x v="0"/>
    <d v="2023-02-03T00:00:00"/>
    <d v="2023-02-24T00:00:00"/>
    <x v="6"/>
    <n v="9"/>
    <n v="84"/>
    <n v="5.8995013464481114E-4"/>
    <n v="3.5379387159913887E-4"/>
    <n v="2.9718685214327665E-2"/>
    <n v="4.9555811310164136E-2"/>
    <n v="-1.9837126095836471E-2"/>
    <n v="-1.374238837689968E-3"/>
    <n v="-2.121136493352644E-2"/>
    <n v="0"/>
    <n v="0"/>
    <n v="0"/>
    <n v="-2.121136493352644E-2"/>
  </r>
  <r>
    <x v="1"/>
    <d v="2023-03-03T00:00:00"/>
    <d v="2023-03-24T00:00:00"/>
    <x v="6"/>
    <n v="9"/>
    <n v="83"/>
    <n v="5.8995013464481114E-4"/>
    <n v="3.5379387159913887E-4"/>
    <n v="2.9364891342728527E-2"/>
    <n v="4.8965861175519328E-2"/>
    <n v="-1.9600969832790801E-2"/>
    <n v="-1.3578788515269922E-3"/>
    <n v="-2.0958848684317792E-2"/>
    <n v="0"/>
    <n v="0"/>
    <n v="0"/>
    <n v="-2.0958848684317792E-2"/>
  </r>
  <r>
    <x v="2"/>
    <d v="2023-04-05T00:00:00"/>
    <d v="2023-04-24T00:00:00"/>
    <x v="6"/>
    <n v="9"/>
    <n v="76"/>
    <n v="5.8995013464481114E-4"/>
    <n v="3.5379387159913887E-4"/>
    <n v="2.6888334241534553E-2"/>
    <n v="4.4836210233005644E-2"/>
    <n v="-1.7947875991471091E-2"/>
    <n v="-1.2433589483861617E-3"/>
    <n v="-1.9191234939857253E-2"/>
    <n v="0"/>
    <n v="0"/>
    <n v="0"/>
    <n v="-1.9191234939857253E-2"/>
  </r>
  <r>
    <x v="3"/>
    <d v="2023-05-03T00:00:00"/>
    <d v="2023-05-24T00:00:00"/>
    <x v="6"/>
    <n v="9"/>
    <n v="69"/>
    <n v="5.8995013464481114E-4"/>
    <n v="3.5379387159913887E-4"/>
    <n v="2.4411777140340582E-2"/>
    <n v="4.0706559290491967E-2"/>
    <n v="-1.6294782150151385E-2"/>
    <n v="-1.1288390452453309E-3"/>
    <n v="-1.7423621195396716E-2"/>
    <n v="0"/>
    <n v="0"/>
    <n v="0"/>
    <n v="-1.7423621195396716E-2"/>
  </r>
  <r>
    <x v="4"/>
    <d v="2023-06-05T00:00:00"/>
    <d v="2023-06-26T00:00:00"/>
    <x v="6"/>
    <n v="9"/>
    <n v="99"/>
    <n v="5.8995013464481114E-4"/>
    <n v="3.5379387159913887E-4"/>
    <n v="3.5025593288314748E-2"/>
    <n v="5.8405063329836304E-2"/>
    <n v="-2.3379470041521556E-2"/>
    <n v="-1.6196386301346052E-3"/>
    <n v="-2.499910867165616E-2"/>
    <n v="0"/>
    <n v="0"/>
    <n v="0"/>
    <n v="-2.499910867165616E-2"/>
  </r>
  <r>
    <x v="5"/>
    <d v="2023-07-05T00:00:00"/>
    <d v="2023-07-24T00:00:00"/>
    <x v="6"/>
    <n v="9"/>
    <n v="149"/>
    <n v="5.8995013464481114E-4"/>
    <n v="3.5379387159913887E-4"/>
    <n v="5.2715286868271691E-2"/>
    <n v="8.7902570062076857E-2"/>
    <n v="-3.5187283193805166E-2"/>
    <n v="-2.4376379382833957E-3"/>
    <n v="-3.7624921132088561E-2"/>
    <n v="0"/>
    <n v="0"/>
    <n v="0"/>
    <n v="-3.7624921132088561E-2"/>
  </r>
  <r>
    <x v="6"/>
    <d v="2023-08-03T00:00:00"/>
    <d v="2023-08-24T00:00:00"/>
    <x v="6"/>
    <n v="9"/>
    <n v="148"/>
    <n v="5.8995013464481114E-4"/>
    <n v="3.5379387159913887E-4"/>
    <n v="5.2361492996672553E-2"/>
    <n v="8.7312619927432056E-2"/>
    <n v="-3.4951126930759503E-2"/>
    <n v="-2.4212779521204197E-3"/>
    <n v="-3.737240488287992E-2"/>
    <n v="0"/>
    <n v="0"/>
    <n v="0"/>
    <n v="-3.737240488287992E-2"/>
  </r>
  <r>
    <x v="7"/>
    <d v="2023-09-05T00:00:00"/>
    <d v="2023-09-25T00:00:00"/>
    <x v="6"/>
    <n v="9"/>
    <n v="160"/>
    <n v="5.8995013464481114E-4"/>
    <n v="3.5379387159913887E-4"/>
    <n v="5.6607019455862218E-2"/>
    <n v="9.439202154316978E-2"/>
    <n v="-3.7785002087307562E-2"/>
    <n v="-2.6175977860761297E-3"/>
    <n v="-4.0402599873383689E-2"/>
    <n v="0"/>
    <n v="0"/>
    <n v="0"/>
    <n v="-4.0402599873383689E-2"/>
  </r>
  <r>
    <x v="8"/>
    <d v="2023-10-04T00:00:00"/>
    <d v="2023-10-24T00:00:00"/>
    <x v="6"/>
    <n v="9"/>
    <n v="155"/>
    <n v="5.8995013464481114E-4"/>
    <n v="3.5379387159913887E-4"/>
    <n v="5.4838050097866527E-2"/>
    <n v="9.1442270869945733E-2"/>
    <n v="-3.6604220772079206E-2"/>
    <n v="-2.5357978552612505E-3"/>
    <n v="-3.9140018627340456E-2"/>
    <n v="0"/>
    <n v="0"/>
    <n v="0"/>
    <n v="-3.9140018627340456E-2"/>
  </r>
  <r>
    <x v="9"/>
    <d v="2023-11-03T00:00:00"/>
    <d v="2023-11-24T00:00:00"/>
    <x v="6"/>
    <n v="9"/>
    <n v="110"/>
    <n v="5.8995013464481114E-4"/>
    <n v="3.5379387159913887E-4"/>
    <n v="3.8917325875905275E-2"/>
    <n v="6.4894514810929227E-2"/>
    <n v="-2.5977188935023952E-2"/>
    <n v="-1.7995984779273391E-3"/>
    <n v="-2.7776787412951292E-2"/>
    <n v="0"/>
    <n v="0"/>
    <n v="0"/>
    <n v="-2.7776787412951292E-2"/>
  </r>
  <r>
    <x v="10"/>
    <d v="2023-12-06T00:00:00"/>
    <d v="2023-12-25T00:00:00"/>
    <x v="6"/>
    <n v="9"/>
    <n v="70"/>
    <n v="5.8995013464481114E-4"/>
    <n v="3.5379387159913887E-4"/>
    <n v="2.476557101193972E-2"/>
    <n v="4.1296509425136782E-2"/>
    <n v="-1.6530938413197062E-2"/>
    <n v="-1.1451990314083067E-3"/>
    <n v="-1.7676137444605368E-2"/>
    <n v="0"/>
    <n v="0"/>
    <n v="0"/>
    <n v="-1.7676137444605368E-2"/>
  </r>
  <r>
    <x v="11"/>
    <d v="2024-01-03T00:00:00"/>
    <d v="2024-01-24T00:00:00"/>
    <x v="6"/>
    <n v="9"/>
    <n v="66"/>
    <n v="5.8995013464481114E-4"/>
    <n v="3.5379387159913887E-4"/>
    <n v="2.3350395525543164E-2"/>
    <n v="3.8936708886557536E-2"/>
    <n v="-1.5586313361014372E-2"/>
    <n v="-1.0797590867564035E-3"/>
    <n v="-1.6666072447770776E-2"/>
    <n v="0"/>
    <n v="0"/>
    <n v="0"/>
    <n v="-1.6666072447770776E-2"/>
  </r>
  <r>
    <x v="0"/>
    <d v="2023-02-03T00:00:00"/>
    <d v="2023-02-24T00:00:00"/>
    <x v="7"/>
    <n v="9"/>
    <n v="63"/>
    <n v="5.8995013464481114E-4"/>
    <n v="3.5379387159913887E-4"/>
    <n v="2.228901391074575E-2"/>
    <n v="3.7166858482623105E-2"/>
    <n v="-1.4877844571877356E-2"/>
    <n v="-1.0306791282674759E-3"/>
    <n v="-1.5908523700144832E-2"/>
    <n v="0"/>
    <n v="0"/>
    <n v="0"/>
    <n v="-1.5908523700144832E-2"/>
  </r>
  <r>
    <x v="1"/>
    <d v="2023-03-03T00:00:00"/>
    <d v="2023-03-24T00:00:00"/>
    <x v="7"/>
    <n v="9"/>
    <n v="63"/>
    <n v="5.8995013464481114E-4"/>
    <n v="3.5379387159913887E-4"/>
    <n v="2.228901391074575E-2"/>
    <n v="3.7166858482623105E-2"/>
    <n v="-1.4877844571877356E-2"/>
    <n v="-1.0306791282674759E-3"/>
    <n v="-1.5908523700144832E-2"/>
    <n v="0"/>
    <n v="0"/>
    <n v="0"/>
    <n v="-1.5908523700144832E-2"/>
  </r>
  <r>
    <x v="2"/>
    <d v="2023-04-05T00:00:00"/>
    <d v="2023-04-24T00:00:00"/>
    <x v="7"/>
    <n v="9"/>
    <n v="67"/>
    <n v="5.8995013464481114E-4"/>
    <n v="3.5379387159913887E-4"/>
    <n v="2.3704189397142306E-2"/>
    <n v="3.9526659021202344E-2"/>
    <n v="-1.5822469624060038E-2"/>
    <n v="-1.0961190729193793E-3"/>
    <n v="-1.6918588696979417E-2"/>
    <n v="0"/>
    <n v="0"/>
    <n v="0"/>
    <n v="-1.6918588696979417E-2"/>
  </r>
  <r>
    <x v="3"/>
    <d v="2023-05-03T00:00:00"/>
    <d v="2023-05-24T00:00:00"/>
    <x v="7"/>
    <n v="9"/>
    <n v="62"/>
    <n v="5.8995013464481114E-4"/>
    <n v="3.5379387159913887E-4"/>
    <n v="2.1935220039146611E-2"/>
    <n v="3.657690834797829E-2"/>
    <n v="-1.4641688308831679E-2"/>
    <n v="-1.0143191421045001E-3"/>
    <n v="-1.565600745093618E-2"/>
    <n v="0"/>
    <n v="0"/>
    <n v="0"/>
    <n v="-1.565600745093618E-2"/>
  </r>
  <r>
    <x v="4"/>
    <d v="2023-06-05T00:00:00"/>
    <d v="2023-06-26T00:00:00"/>
    <x v="7"/>
    <n v="9"/>
    <n v="51"/>
    <n v="5.8995013464481114E-4"/>
    <n v="3.5379387159913887E-4"/>
    <n v="1.8043487451556081E-2"/>
    <n v="3.0087456866885368E-2"/>
    <n v="-1.2043969415329286E-2"/>
    <n v="-8.3435929431176616E-4"/>
    <n v="-1.2878328709641052E-2"/>
    <n v="0"/>
    <n v="0"/>
    <n v="0"/>
    <n v="-1.2878328709641052E-2"/>
  </r>
  <r>
    <x v="5"/>
    <d v="2023-07-05T00:00:00"/>
    <d v="2023-07-24T00:00:00"/>
    <x v="7"/>
    <n v="9"/>
    <n v="67"/>
    <n v="5.8995013464481114E-4"/>
    <n v="3.5379387159913887E-4"/>
    <n v="2.3704189397142306E-2"/>
    <n v="3.9526659021202344E-2"/>
    <n v="-1.5822469624060038E-2"/>
    <n v="-1.0961190729193793E-3"/>
    <n v="-1.6918588696979417E-2"/>
    <n v="0"/>
    <n v="0"/>
    <n v="0"/>
    <n v="-1.6918588696979417E-2"/>
  </r>
  <r>
    <x v="6"/>
    <d v="2023-08-03T00:00:00"/>
    <d v="2023-08-24T00:00:00"/>
    <x v="7"/>
    <n v="9"/>
    <n v="66"/>
    <n v="5.8995013464481114E-4"/>
    <n v="3.5379387159913887E-4"/>
    <n v="2.3350395525543164E-2"/>
    <n v="3.8936708886557536E-2"/>
    <n v="-1.5586313361014372E-2"/>
    <n v="-1.0797590867564035E-3"/>
    <n v="-1.6666072447770776E-2"/>
    <n v="0"/>
    <n v="0"/>
    <n v="0"/>
    <n v="-1.6666072447770776E-2"/>
  </r>
  <r>
    <x v="7"/>
    <d v="2023-09-05T00:00:00"/>
    <d v="2023-09-25T00:00:00"/>
    <x v="7"/>
    <n v="9"/>
    <n v="61"/>
    <n v="5.8995013464481114E-4"/>
    <n v="3.5379387159913887E-4"/>
    <n v="2.158142616754747E-2"/>
    <n v="3.5986958213333482E-2"/>
    <n v="-1.4405532045786013E-2"/>
    <n v="-9.9795915594152432E-4"/>
    <n v="-1.5403491201727538E-2"/>
    <n v="0"/>
    <n v="0"/>
    <n v="0"/>
    <n v="-1.5403491201727538E-2"/>
  </r>
  <r>
    <x v="8"/>
    <d v="2023-10-04T00:00:00"/>
    <d v="2023-10-24T00:00:00"/>
    <x v="7"/>
    <n v="9"/>
    <n v="55"/>
    <n v="5.8995013464481114E-4"/>
    <n v="3.5379387159913887E-4"/>
    <n v="1.9458662937952637E-2"/>
    <n v="3.2447257405464613E-2"/>
    <n v="-1.2988594467511976E-2"/>
    <n v="-8.9979923896366955E-4"/>
    <n v="-1.3888393706475646E-2"/>
    <n v="0"/>
    <n v="0"/>
    <n v="0"/>
    <n v="-1.3888393706475646E-2"/>
  </r>
  <r>
    <x v="9"/>
    <d v="2023-11-03T00:00:00"/>
    <d v="2023-11-24T00:00:00"/>
    <x v="7"/>
    <n v="9"/>
    <n v="59"/>
    <n v="5.8995013464481114E-4"/>
    <n v="3.5379387159913887E-4"/>
    <n v="2.0873838424349193E-2"/>
    <n v="3.4807057944043859E-2"/>
    <n v="-1.3933219519694666E-2"/>
    <n v="-9.6523918361557273E-4"/>
    <n v="-1.4898458703310238E-2"/>
    <n v="0"/>
    <n v="0"/>
    <n v="0"/>
    <n v="-1.4898458703310238E-2"/>
  </r>
  <r>
    <x v="10"/>
    <d v="2023-12-06T00:00:00"/>
    <d v="2023-12-25T00:00:00"/>
    <x v="7"/>
    <n v="9"/>
    <n v="63"/>
    <n v="5.8995013464481114E-4"/>
    <n v="3.5379387159913887E-4"/>
    <n v="2.228901391074575E-2"/>
    <n v="3.7166858482623105E-2"/>
    <n v="-1.4877844571877356E-2"/>
    <n v="-1.0306791282674759E-3"/>
    <n v="-1.5908523700144832E-2"/>
    <n v="0"/>
    <n v="0"/>
    <n v="0"/>
    <n v="-1.5908523700144832E-2"/>
  </r>
  <r>
    <x v="11"/>
    <d v="2024-01-03T00:00:00"/>
    <d v="2024-01-24T00:00:00"/>
    <x v="7"/>
    <n v="9"/>
    <n v="63"/>
    <n v="5.8995013464481114E-4"/>
    <n v="3.5379387159913887E-4"/>
    <n v="2.228901391074575E-2"/>
    <n v="3.7166858482623105E-2"/>
    <n v="-1.4877844571877356E-2"/>
    <n v="-1.0306791282674759E-3"/>
    <n v="-1.5908523700144832E-2"/>
    <n v="0"/>
    <n v="0"/>
    <n v="0"/>
    <n v="-1.5908523700144832E-2"/>
  </r>
  <r>
    <x v="0"/>
    <d v="2023-02-03T00:00:00"/>
    <d v="2023-02-24T00:00:00"/>
    <x v="8"/>
    <n v="9"/>
    <n v="967"/>
    <n v="5.8995013464481114E-4"/>
    <n v="3.5379387159913887E-4"/>
    <n v="0.34211867383636729"/>
    <n v="0.5704817802015324"/>
    <n v="-0.2283631063651651"/>
    <n v="-1.5820106619597606E-2"/>
    <n v="-0.2441832129847627"/>
    <n v="0"/>
    <n v="0"/>
    <n v="0"/>
    <n v="-0.2441832129847627"/>
  </r>
  <r>
    <x v="1"/>
    <d v="2023-03-03T00:00:00"/>
    <d v="2023-03-24T00:00:00"/>
    <x v="8"/>
    <n v="9"/>
    <n v="955"/>
    <n v="5.8995013464481114E-4"/>
    <n v="3.5379387159913887E-4"/>
    <n v="0.33787314737717761"/>
    <n v="0.56340237858579467"/>
    <n v="-0.22552923120861706"/>
    <n v="-1.5623786785641899E-2"/>
    <n v="-0.24115301799425898"/>
    <n v="0"/>
    <n v="0"/>
    <n v="0"/>
    <n v="-0.24115301799425898"/>
  </r>
  <r>
    <x v="2"/>
    <d v="2023-04-05T00:00:00"/>
    <d v="2023-04-24T00:00:00"/>
    <x v="8"/>
    <n v="9"/>
    <n v="872"/>
    <n v="5.8995013464481114E-4"/>
    <n v="3.5379387159913887E-4"/>
    <n v="0.30850825603444909"/>
    <n v="0.5144365174102753"/>
    <n v="-0.2059282613758262"/>
    <n v="-1.4265907934114905E-2"/>
    <n v="-0.22019416930994112"/>
    <n v="0"/>
    <n v="0"/>
    <n v="0"/>
    <n v="-0.22019416930994112"/>
  </r>
  <r>
    <x v="3"/>
    <d v="2023-05-03T00:00:00"/>
    <d v="2023-05-24T00:00:00"/>
    <x v="8"/>
    <n v="9"/>
    <n v="602"/>
    <n v="5.8995013464481114E-4"/>
    <n v="3.5379387159913887E-4"/>
    <n v="0.21298391070268161"/>
    <n v="0.35514998105617629"/>
    <n v="-0.14216607035349468"/>
    <n v="-9.8487116701114364E-3"/>
    <n v="-0.15201478202360613"/>
    <n v="0"/>
    <n v="0"/>
    <n v="0"/>
    <n v="-0.15201478202360613"/>
  </r>
  <r>
    <x v="4"/>
    <d v="2023-06-05T00:00:00"/>
    <d v="2023-06-26T00:00:00"/>
    <x v="8"/>
    <n v="9"/>
    <n v="711"/>
    <n v="5.8995013464481114E-4"/>
    <n v="3.5379387159913887E-4"/>
    <n v="0.25154744270698776"/>
    <n v="0.41945454573246072"/>
    <n v="-0.16790710302547296"/>
    <n v="-1.1631950161875799E-2"/>
    <n v="-0.17953905318734875"/>
    <n v="0"/>
    <n v="0"/>
    <n v="0"/>
    <n v="-0.17953905318734875"/>
  </r>
  <r>
    <x v="5"/>
    <d v="2023-07-05T00:00:00"/>
    <d v="2023-07-24T00:00:00"/>
    <x v="8"/>
    <n v="9"/>
    <n v="936"/>
    <n v="5.8995013464481114E-4"/>
    <n v="3.5379387159913887E-4"/>
    <n v="0.33115106381679399"/>
    <n v="0.55219332602754323"/>
    <n v="-0.22104226221074924"/>
    <n v="-1.5312947048545359E-2"/>
    <n v="-0.2363552092592946"/>
    <n v="0"/>
    <n v="0"/>
    <n v="0"/>
    <n v="-0.2363552092592946"/>
  </r>
  <r>
    <x v="6"/>
    <d v="2023-08-03T00:00:00"/>
    <d v="2023-08-24T00:00:00"/>
    <x v="8"/>
    <n v="9"/>
    <n v="932"/>
    <n v="5.8995013464481114E-4"/>
    <n v="3.5379387159913887E-4"/>
    <n v="0.32973588833039741"/>
    <n v="0.54983352548896403"/>
    <n v="-0.22009763715856662"/>
    <n v="-1.5247507103893455E-2"/>
    <n v="-0.23534514426246006"/>
    <n v="0"/>
    <n v="0"/>
    <n v="0"/>
    <n v="-0.23534514426246006"/>
  </r>
  <r>
    <x v="7"/>
    <d v="2023-09-05T00:00:00"/>
    <d v="2023-09-25T00:00:00"/>
    <x v="8"/>
    <n v="9"/>
    <n v="1025"/>
    <n v="5.8995013464481114E-4"/>
    <n v="3.5379387159913887E-4"/>
    <n v="0.36263871838911732"/>
    <n v="0.60469888801093141"/>
    <n v="-0.24206016962181409"/>
    <n v="-1.6768985817050205E-2"/>
    <n v="-0.25882915543886431"/>
    <n v="0"/>
    <n v="0"/>
    <n v="0"/>
    <n v="-0.25882915543886431"/>
  </r>
  <r>
    <x v="8"/>
    <d v="2023-10-04T00:00:00"/>
    <d v="2023-10-24T00:00:00"/>
    <x v="8"/>
    <n v="9"/>
    <n v="934"/>
    <n v="5.8995013464481114E-4"/>
    <n v="3.5379387159913887E-4"/>
    <n v="0.3304434760735957"/>
    <n v="0.55101342575825363"/>
    <n v="-0.22056994968465793"/>
    <n v="-1.5280227076219406E-2"/>
    <n v="-0.23585017676087733"/>
    <n v="0"/>
    <n v="0"/>
    <n v="0"/>
    <n v="-0.23585017676087733"/>
  </r>
  <r>
    <x v="9"/>
    <d v="2023-11-03T00:00:00"/>
    <d v="2023-11-24T00:00:00"/>
    <x v="8"/>
    <n v="9"/>
    <n v="700"/>
    <n v="5.8995013464481114E-4"/>
    <n v="3.5379387159913887E-4"/>
    <n v="0.24765571011939722"/>
    <n v="0.41296509425136779"/>
    <n v="-0.16530938413197058"/>
    <n v="-1.1451990314083067E-2"/>
    <n v="-0.17676137444605364"/>
    <n v="0"/>
    <n v="0"/>
    <n v="0"/>
    <n v="-0.17676137444605364"/>
  </r>
  <r>
    <x v="10"/>
    <d v="2023-12-06T00:00:00"/>
    <d v="2023-12-25T00:00:00"/>
    <x v="8"/>
    <n v="9"/>
    <n v="867"/>
    <n v="5.8995013464481114E-4"/>
    <n v="3.5379387159913887E-4"/>
    <n v="0.30673928667645339"/>
    <n v="0.51148676673705129"/>
    <n v="-0.2047474800605979"/>
    <n v="-1.4184108003300028E-2"/>
    <n v="-0.21893158806389793"/>
    <n v="0"/>
    <n v="0"/>
    <n v="0"/>
    <n v="-0.21893158806389793"/>
  </r>
  <r>
    <x v="11"/>
    <d v="2024-01-03T00:00:00"/>
    <d v="2024-01-24T00:00:00"/>
    <x v="8"/>
    <n v="9"/>
    <n v="916"/>
    <n v="5.8995013464481114E-4"/>
    <n v="3.5379387159913887E-4"/>
    <n v="0.3240751863848112"/>
    <n v="0.54039432333464699"/>
    <n v="-0.21631913694983579"/>
    <n v="-1.4985747325285842E-2"/>
    <n v="-0.23130488427512164"/>
    <n v="0"/>
    <n v="0"/>
    <n v="0"/>
    <n v="-0.23130488427512164"/>
  </r>
  <r>
    <x v="0"/>
    <d v="2023-02-03T00:00:00"/>
    <d v="2023-02-24T00:00:00"/>
    <x v="9"/>
    <n v="9"/>
    <n v="6"/>
    <n v="5.8995013464481114E-4"/>
    <n v="3.5379387159913887E-4"/>
    <n v="2.1227632295948333E-3"/>
    <n v="3.5397008078688671E-3"/>
    <n v="-1.4169375782740338E-3"/>
    <n v="-9.8159916977854847E-5"/>
    <n v="-1.5150974952518885E-3"/>
    <n v="0"/>
    <n v="0"/>
    <n v="0"/>
    <n v="-1.5150974952518885E-3"/>
  </r>
  <r>
    <x v="1"/>
    <d v="2023-03-03T00:00:00"/>
    <d v="2023-03-24T00:00:00"/>
    <x v="9"/>
    <n v="9"/>
    <n v="5"/>
    <n v="5.8995013464481114E-4"/>
    <n v="3.5379387159913887E-4"/>
    <n v="1.7689693579956943E-3"/>
    <n v="2.9497506732240556E-3"/>
    <n v="-1.1807813152283613E-3"/>
    <n v="-8.1799930814879053E-5"/>
    <n v="-1.2625812460432403E-3"/>
    <n v="0"/>
    <n v="0"/>
    <n v="0"/>
    <n v="-1.2625812460432403E-3"/>
  </r>
  <r>
    <x v="2"/>
    <d v="2023-04-05T00:00:00"/>
    <d v="2023-04-24T00:00:00"/>
    <x v="9"/>
    <n v="9"/>
    <n v="5"/>
    <n v="5.8995013464481114E-4"/>
    <n v="3.5379387159913887E-4"/>
    <n v="1.7689693579956943E-3"/>
    <n v="2.9497506732240556E-3"/>
    <n v="-1.1807813152283613E-3"/>
    <n v="-8.1799930814879053E-5"/>
    <n v="-1.2625812460432403E-3"/>
    <n v="0"/>
    <n v="0"/>
    <n v="0"/>
    <n v="-1.2625812460432403E-3"/>
  </r>
  <r>
    <x v="3"/>
    <d v="2023-05-03T00:00:00"/>
    <d v="2023-05-24T00:00:00"/>
    <x v="9"/>
    <n v="9"/>
    <n v="7"/>
    <n v="5.8995013464481114E-4"/>
    <n v="3.5379387159913887E-4"/>
    <n v="2.4765571011939719E-3"/>
    <n v="4.1296509425136777E-3"/>
    <n v="-1.6530938413197058E-3"/>
    <n v="-1.1451990314083067E-4"/>
    <n v="-1.7676137444605365E-3"/>
    <n v="0"/>
    <n v="0"/>
    <n v="0"/>
    <n v="-1.7676137444605365E-3"/>
  </r>
  <r>
    <x v="4"/>
    <d v="2023-06-05T00:00:00"/>
    <d v="2023-06-26T00:00:00"/>
    <x v="9"/>
    <n v="9"/>
    <n v="4"/>
    <n v="5.8995013464481114E-4"/>
    <n v="3.5379387159913887E-4"/>
    <n v="1.4151754863965555E-3"/>
    <n v="2.3598005385792446E-3"/>
    <n v="-9.4462505218268909E-4"/>
    <n v="-6.5439944651903231E-5"/>
    <n v="-1.0100649968345923E-3"/>
    <n v="0"/>
    <n v="0"/>
    <n v="0"/>
    <n v="-1.0100649968345923E-3"/>
  </r>
  <r>
    <x v="5"/>
    <d v="2023-07-05T00:00:00"/>
    <d v="2023-07-24T00:00:00"/>
    <x v="9"/>
    <n v="9"/>
    <n v="14"/>
    <n v="5.8995013464481114E-4"/>
    <n v="3.5379387159913887E-4"/>
    <n v="4.9531142023879439E-3"/>
    <n v="8.2593018850273554E-3"/>
    <n v="-3.3061876826394115E-3"/>
    <n v="-2.2903980628166134E-4"/>
    <n v="-3.5352274889210731E-3"/>
    <n v="0"/>
    <n v="0"/>
    <n v="0"/>
    <n v="-3.5352274889210731E-3"/>
  </r>
  <r>
    <x v="6"/>
    <d v="2023-08-03T00:00:00"/>
    <d v="2023-08-24T00:00:00"/>
    <x v="9"/>
    <n v="9"/>
    <n v="13"/>
    <n v="5.8995013464481114E-4"/>
    <n v="3.5379387159913887E-4"/>
    <n v="4.5993203307888057E-3"/>
    <n v="7.6693517503825448E-3"/>
    <n v="-3.0700314195937391E-3"/>
    <n v="-2.1267982011868549E-4"/>
    <n v="-3.2827112397124246E-3"/>
    <n v="0"/>
    <n v="0"/>
    <n v="0"/>
    <n v="-3.2827112397124246E-3"/>
  </r>
  <r>
    <x v="7"/>
    <d v="2023-09-05T00:00:00"/>
    <d v="2023-09-25T00:00:00"/>
    <x v="9"/>
    <n v="9"/>
    <n v="19"/>
    <n v="5.8995013464481114E-4"/>
    <n v="3.5379387159913887E-4"/>
    <n v="6.7220835603836382E-3"/>
    <n v="1.1209052558251411E-2"/>
    <n v="-4.4869689978677728E-3"/>
    <n v="-3.1083973709654042E-4"/>
    <n v="-4.7978087349643131E-3"/>
    <n v="0"/>
    <n v="0"/>
    <n v="0"/>
    <n v="-4.7978087349643131E-3"/>
  </r>
  <r>
    <x v="8"/>
    <d v="2023-10-04T00:00:00"/>
    <d v="2023-10-24T00:00:00"/>
    <x v="9"/>
    <n v="9"/>
    <n v="18"/>
    <n v="5.8995013464481114E-4"/>
    <n v="3.5379387159913887E-4"/>
    <n v="6.3682896887845E-3"/>
    <n v="1.0619102423606601E-2"/>
    <n v="-4.2508127348221013E-3"/>
    <n v="-2.9447975093356457E-4"/>
    <n v="-4.545292485755666E-3"/>
    <n v="0"/>
    <n v="0"/>
    <n v="0"/>
    <n v="-4.545292485755666E-3"/>
  </r>
  <r>
    <x v="9"/>
    <d v="2023-11-03T00:00:00"/>
    <d v="2023-11-24T00:00:00"/>
    <x v="9"/>
    <n v="9"/>
    <n v="6"/>
    <n v="5.8995013464481114E-4"/>
    <n v="3.5379387159913887E-4"/>
    <n v="2.1227632295948333E-3"/>
    <n v="3.5397008078688671E-3"/>
    <n v="-1.4169375782740338E-3"/>
    <n v="-9.8159916977854847E-5"/>
    <n v="-1.5150974952518885E-3"/>
    <n v="0"/>
    <n v="0"/>
    <n v="0"/>
    <n v="-1.5150974952518885E-3"/>
  </r>
  <r>
    <x v="10"/>
    <d v="2023-12-06T00:00:00"/>
    <d v="2023-12-25T00:00:00"/>
    <x v="9"/>
    <n v="9"/>
    <n v="6"/>
    <n v="5.8995013464481114E-4"/>
    <n v="3.5379387159913887E-4"/>
    <n v="2.1227632295948333E-3"/>
    <n v="3.5397008078688671E-3"/>
    <n v="-1.4169375782740338E-3"/>
    <n v="-9.8159916977854847E-5"/>
    <n v="-1.5150974952518885E-3"/>
    <n v="0"/>
    <n v="0"/>
    <n v="0"/>
    <n v="-1.5150974952518885E-3"/>
  </r>
  <r>
    <x v="11"/>
    <d v="2024-01-03T00:00:00"/>
    <d v="2024-01-24T00:00:00"/>
    <x v="9"/>
    <n v="9"/>
    <n v="5"/>
    <n v="5.8995013464481114E-4"/>
    <n v="3.5379387159913887E-4"/>
    <n v="1.7689693579956943E-3"/>
    <n v="2.9497506732240556E-3"/>
    <n v="-1.1807813152283613E-3"/>
    <n v="-8.1799930814879053E-5"/>
    <n v="-1.2625812460432403E-3"/>
    <n v="0"/>
    <n v="0"/>
    <n v="0"/>
    <n v="-1.2625812460432403E-3"/>
  </r>
  <r>
    <x v="0"/>
    <d v="2023-02-03T00:00:00"/>
    <d v="2023-02-24T00:00:00"/>
    <x v="10"/>
    <n v="9"/>
    <n v="4"/>
    <n v="5.8995013464481114E-4"/>
    <n v="3.5379387159913887E-4"/>
    <n v="1.4151754863965555E-3"/>
    <n v="2.3598005385792446E-3"/>
    <n v="-9.4462505218268909E-4"/>
    <n v="-6.5439944651903231E-5"/>
    <n v="-1.0100649968345923E-3"/>
    <n v="0"/>
    <n v="0"/>
    <n v="0"/>
    <n v="-1.0100649968345923E-3"/>
  </r>
  <r>
    <x v="1"/>
    <d v="2023-03-03T00:00:00"/>
    <d v="2023-03-24T00:00:00"/>
    <x v="10"/>
    <n v="9"/>
    <n v="5"/>
    <n v="5.8995013464481114E-4"/>
    <n v="3.5379387159913887E-4"/>
    <n v="1.7689693579956943E-3"/>
    <n v="2.9497506732240556E-3"/>
    <n v="-1.1807813152283613E-3"/>
    <n v="-8.1799930814879053E-5"/>
    <n v="-1.2625812460432403E-3"/>
    <n v="0"/>
    <n v="0"/>
    <n v="0"/>
    <n v="-1.2625812460432403E-3"/>
  </r>
  <r>
    <x v="2"/>
    <d v="2023-04-05T00:00:00"/>
    <d v="2023-04-24T00:00:00"/>
    <x v="10"/>
    <n v="9"/>
    <n v="1"/>
    <n v="5.8995013464481114E-4"/>
    <n v="3.5379387159913887E-4"/>
    <n v="3.5379387159913887E-4"/>
    <n v="5.8995013464481114E-4"/>
    <n v="-2.3615626304567227E-4"/>
    <n v="-1.6359986162975808E-5"/>
    <n v="-2.5251624920864807E-4"/>
    <n v="0"/>
    <n v="0"/>
    <n v="0"/>
    <n v="-2.5251624920864807E-4"/>
  </r>
  <r>
    <x v="3"/>
    <d v="2023-05-03T00:00:00"/>
    <d v="2023-05-24T00:00:00"/>
    <x v="10"/>
    <n v="9"/>
    <n v="7"/>
    <n v="5.8995013464481114E-4"/>
    <n v="3.5379387159913887E-4"/>
    <n v="2.4765571011939719E-3"/>
    <n v="4.1296509425136777E-3"/>
    <n v="-1.6530938413197058E-3"/>
    <n v="-1.1451990314083067E-4"/>
    <n v="-1.7676137444605365E-3"/>
    <n v="0"/>
    <n v="0"/>
    <n v="0"/>
    <n v="-1.7676137444605365E-3"/>
  </r>
  <r>
    <x v="4"/>
    <d v="2023-06-05T00:00:00"/>
    <d v="2023-06-26T00:00:00"/>
    <x v="10"/>
    <n v="9"/>
    <n v="3"/>
    <n v="5.8995013464481114E-4"/>
    <n v="3.5379387159913887E-4"/>
    <n v="1.0613816147974167E-3"/>
    <n v="1.7698504039344335E-3"/>
    <n v="-7.0846878913701688E-4"/>
    <n v="-4.9079958488927424E-5"/>
    <n v="-7.5754874762594426E-4"/>
    <n v="0"/>
    <n v="0"/>
    <n v="0"/>
    <n v="-7.5754874762594426E-4"/>
  </r>
  <r>
    <x v="5"/>
    <d v="2023-07-05T00:00:00"/>
    <d v="2023-07-24T00:00:00"/>
    <x v="10"/>
    <n v="9"/>
    <n v="7"/>
    <n v="5.8995013464481114E-4"/>
    <n v="3.5379387159913887E-4"/>
    <n v="2.4765571011939719E-3"/>
    <n v="4.1296509425136777E-3"/>
    <n v="-1.6530938413197058E-3"/>
    <n v="-1.1451990314083067E-4"/>
    <n v="-1.7676137444605365E-3"/>
    <n v="0"/>
    <n v="0"/>
    <n v="0"/>
    <n v="-1.7676137444605365E-3"/>
  </r>
  <r>
    <x v="6"/>
    <d v="2023-08-03T00:00:00"/>
    <d v="2023-08-24T00:00:00"/>
    <x v="10"/>
    <n v="9"/>
    <n v="5"/>
    <n v="5.8995013464481114E-4"/>
    <n v="3.5379387159913887E-4"/>
    <n v="1.7689693579956943E-3"/>
    <n v="2.9497506732240556E-3"/>
    <n v="-1.1807813152283613E-3"/>
    <n v="-8.1799930814879053E-5"/>
    <n v="-1.2625812460432403E-3"/>
    <n v="0"/>
    <n v="0"/>
    <n v="0"/>
    <n v="-1.2625812460432403E-3"/>
  </r>
  <r>
    <x v="7"/>
    <d v="2023-09-05T00:00:00"/>
    <d v="2023-09-25T00:00:00"/>
    <x v="10"/>
    <n v="9"/>
    <n v="5"/>
    <n v="5.8995013464481114E-4"/>
    <n v="3.5379387159913887E-4"/>
    <n v="1.7689693579956943E-3"/>
    <n v="2.9497506732240556E-3"/>
    <n v="-1.1807813152283613E-3"/>
    <n v="-8.1799930814879053E-5"/>
    <n v="-1.2625812460432403E-3"/>
    <n v="0"/>
    <n v="0"/>
    <n v="0"/>
    <n v="-1.2625812460432403E-3"/>
  </r>
  <r>
    <x v="8"/>
    <d v="2023-10-04T00:00:00"/>
    <d v="2023-10-24T00:00:00"/>
    <x v="10"/>
    <n v="9"/>
    <n v="6"/>
    <n v="5.8995013464481114E-4"/>
    <n v="3.5379387159913887E-4"/>
    <n v="2.1227632295948333E-3"/>
    <n v="3.5397008078688671E-3"/>
    <n v="-1.4169375782740338E-3"/>
    <n v="-9.8159916977854847E-5"/>
    <n v="-1.5150974952518885E-3"/>
    <n v="0"/>
    <n v="0"/>
    <n v="0"/>
    <n v="-1.5150974952518885E-3"/>
  </r>
  <r>
    <x v="9"/>
    <d v="2023-11-03T00:00:00"/>
    <d v="2023-11-24T00:00:00"/>
    <x v="10"/>
    <n v="9"/>
    <n v="5"/>
    <n v="5.8995013464481114E-4"/>
    <n v="3.5379387159913887E-4"/>
    <n v="1.7689693579956943E-3"/>
    <n v="2.9497506732240556E-3"/>
    <n v="-1.1807813152283613E-3"/>
    <n v="-8.1799930814879053E-5"/>
    <n v="-1.2625812460432403E-3"/>
    <n v="0"/>
    <n v="0"/>
    <n v="0"/>
    <n v="-1.2625812460432403E-3"/>
  </r>
  <r>
    <x v="10"/>
    <d v="2023-12-06T00:00:00"/>
    <d v="2023-12-25T00:00:00"/>
    <x v="10"/>
    <n v="9"/>
    <n v="4"/>
    <n v="5.8995013464481114E-4"/>
    <n v="3.5379387159913887E-4"/>
    <n v="1.4151754863965555E-3"/>
    <n v="2.3598005385792446E-3"/>
    <n v="-9.4462505218268909E-4"/>
    <n v="-6.5439944651903231E-5"/>
    <n v="-1.0100649968345923E-3"/>
    <n v="0"/>
    <n v="0"/>
    <n v="0"/>
    <n v="-1.0100649968345923E-3"/>
  </r>
  <r>
    <x v="11"/>
    <d v="2024-01-03T00:00:00"/>
    <d v="2024-01-24T00:00:00"/>
    <x v="10"/>
    <n v="9"/>
    <n v="4"/>
    <n v="5.8995013464481114E-4"/>
    <n v="3.5379387159913887E-4"/>
    <n v="1.4151754863965555E-3"/>
    <n v="2.3598005385792446E-3"/>
    <n v="-9.4462505218268909E-4"/>
    <n v="-6.5439944651903231E-5"/>
    <n v="-1.0100649968345923E-3"/>
    <n v="0"/>
    <n v="0"/>
    <n v="0"/>
    <n v="-1.0100649968345923E-3"/>
  </r>
  <r>
    <x v="0"/>
    <d v="2023-02-03T00:00:00"/>
    <d v="2023-02-24T00:00:00"/>
    <x v="11"/>
    <n v="9"/>
    <n v="113"/>
    <n v="5.8995013464481114E-4"/>
    <n v="3.5379387159913887E-4"/>
    <n v="3.9978707490702689E-2"/>
    <n v="6.6664365214863658E-2"/>
    <n v="-2.6685657724160969E-2"/>
    <n v="-1.8486784364162663E-3"/>
    <n v="-2.8534336160577236E-2"/>
    <n v="0"/>
    <n v="0"/>
    <n v="0"/>
    <n v="-2.8534336160577236E-2"/>
  </r>
  <r>
    <x v="1"/>
    <d v="2023-03-03T00:00:00"/>
    <d v="2023-03-24T00:00:00"/>
    <x v="11"/>
    <n v="9"/>
    <n v="108"/>
    <n v="5.8995013464481114E-4"/>
    <n v="3.5379387159913887E-4"/>
    <n v="3.8209738132706998E-2"/>
    <n v="6.3714614541639597E-2"/>
    <n v="-2.5504876408932599E-2"/>
    <n v="-1.7668785056013875E-3"/>
    <n v="-2.7271754914533985E-2"/>
    <n v="0"/>
    <n v="0"/>
    <n v="0"/>
    <n v="-2.7271754914533985E-2"/>
  </r>
  <r>
    <x v="2"/>
    <d v="2023-04-05T00:00:00"/>
    <d v="2023-04-24T00:00:00"/>
    <x v="11"/>
    <n v="9"/>
    <n v="96"/>
    <n v="5.8995013464481114E-4"/>
    <n v="3.5379387159913887E-4"/>
    <n v="3.3964211673517333E-2"/>
    <n v="5.6635212925901873E-2"/>
    <n v="-2.267100125238454E-2"/>
    <n v="-1.5705586716456776E-3"/>
    <n v="-2.4241559924030216E-2"/>
    <n v="0"/>
    <n v="0"/>
    <n v="0"/>
    <n v="-2.4241559924030216E-2"/>
  </r>
  <r>
    <x v="3"/>
    <d v="2023-05-03T00:00:00"/>
    <d v="2023-05-24T00:00:00"/>
    <x v="11"/>
    <n v="9"/>
    <n v="91"/>
    <n v="5.8995013464481114E-4"/>
    <n v="3.5379387159913887E-4"/>
    <n v="3.2195242315521636E-2"/>
    <n v="5.3685462252677812E-2"/>
    <n v="-2.1490219937156177E-2"/>
    <n v="-1.4887587408307986E-3"/>
    <n v="-2.2978978677986976E-2"/>
    <n v="0"/>
    <n v="0"/>
    <n v="0"/>
    <n v="-2.2978978677986976E-2"/>
  </r>
  <r>
    <x v="4"/>
    <d v="2023-06-05T00:00:00"/>
    <d v="2023-06-26T00:00:00"/>
    <x v="11"/>
    <n v="9"/>
    <n v="125"/>
    <n v="5.8995013464481114E-4"/>
    <n v="3.5379387159913887E-4"/>
    <n v="4.4224233949892361E-2"/>
    <n v="7.3743766830601395E-2"/>
    <n v="-2.9519532880709035E-2"/>
    <n v="-2.0449982703719762E-3"/>
    <n v="-3.1564531151081009E-2"/>
    <n v="0"/>
    <n v="0"/>
    <n v="0"/>
    <n v="-3.1564531151081009E-2"/>
  </r>
  <r>
    <x v="5"/>
    <d v="2023-07-05T00:00:00"/>
    <d v="2023-07-24T00:00:00"/>
    <x v="11"/>
    <n v="9"/>
    <n v="167"/>
    <n v="5.8995013464481114E-4"/>
    <n v="3.5379387159913887E-4"/>
    <n v="5.9083576557056192E-2"/>
    <n v="9.8521672485683456E-2"/>
    <n v="-3.9438095928627265E-2"/>
    <n v="-2.7321176892169605E-3"/>
    <n v="-4.2170213617844225E-2"/>
    <n v="0"/>
    <n v="0"/>
    <n v="0"/>
    <n v="-4.2170213617844225E-2"/>
  </r>
  <r>
    <x v="6"/>
    <d v="2023-08-03T00:00:00"/>
    <d v="2023-08-24T00:00:00"/>
    <x v="11"/>
    <n v="9"/>
    <n v="160"/>
    <n v="5.8995013464481114E-4"/>
    <n v="3.5379387159913887E-4"/>
    <n v="5.6607019455862218E-2"/>
    <n v="9.439202154316978E-2"/>
    <n v="-3.7785002087307562E-2"/>
    <n v="-2.6175977860761297E-3"/>
    <n v="-4.0402599873383689E-2"/>
    <n v="0"/>
    <n v="0"/>
    <n v="0"/>
    <n v="-4.0402599873383689E-2"/>
  </r>
  <r>
    <x v="7"/>
    <d v="2023-09-05T00:00:00"/>
    <d v="2023-09-25T00:00:00"/>
    <x v="11"/>
    <n v="9"/>
    <n v="181"/>
    <n v="5.8995013464481114E-4"/>
    <n v="3.5379387159913887E-4"/>
    <n v="6.403669075944414E-2"/>
    <n v="0.10678097437071082"/>
    <n v="-4.2744283611266684E-2"/>
    <n v="-2.9611574954986212E-3"/>
    <n v="-4.5705441106765304E-2"/>
    <n v="0"/>
    <n v="0"/>
    <n v="0"/>
    <n v="-4.5705441106765304E-2"/>
  </r>
  <r>
    <x v="8"/>
    <d v="2023-10-04T00:00:00"/>
    <d v="2023-10-24T00:00:00"/>
    <x v="11"/>
    <n v="9"/>
    <n v="157"/>
    <n v="5.8995013464481114E-4"/>
    <n v="3.5379387159913887E-4"/>
    <n v="5.5545637841064803E-2"/>
    <n v="9.2622171139235349E-2"/>
    <n v="-3.7076533298170546E-2"/>
    <n v="-2.5685178275872021E-3"/>
    <n v="-3.9645051125757745E-2"/>
    <n v="0"/>
    <n v="0"/>
    <n v="0"/>
    <n v="-3.9645051125757745E-2"/>
  </r>
  <r>
    <x v="9"/>
    <d v="2023-11-03T00:00:00"/>
    <d v="2023-11-24T00:00:00"/>
    <x v="11"/>
    <n v="9"/>
    <n v="118"/>
    <n v="5.8995013464481114E-4"/>
    <n v="3.5379387159913887E-4"/>
    <n v="4.1747676848698387E-2"/>
    <n v="6.9614115888087719E-2"/>
    <n v="-2.7866439039389332E-2"/>
    <n v="-1.9304783672311455E-3"/>
    <n v="-2.9796917406620476E-2"/>
    <n v="0"/>
    <n v="0"/>
    <n v="0"/>
    <n v="-2.9796917406620476E-2"/>
  </r>
  <r>
    <x v="10"/>
    <d v="2023-12-06T00:00:00"/>
    <d v="2023-12-25T00:00:00"/>
    <x v="11"/>
    <n v="9"/>
    <n v="102"/>
    <n v="5.8995013464481114E-4"/>
    <n v="3.5379387159913887E-4"/>
    <n v="3.6086974903112162E-2"/>
    <n v="6.0174913733770735E-2"/>
    <n v="-2.4087938830658573E-2"/>
    <n v="-1.6687185886235323E-3"/>
    <n v="-2.5756657419282104E-2"/>
    <n v="0"/>
    <n v="0"/>
    <n v="0"/>
    <n v="-2.5756657419282104E-2"/>
  </r>
  <r>
    <x v="11"/>
    <d v="2024-01-03T00:00:00"/>
    <d v="2024-01-24T00:00:00"/>
    <x v="11"/>
    <n v="9"/>
    <n v="99"/>
    <n v="5.8995013464481114E-4"/>
    <n v="3.5379387159913887E-4"/>
    <n v="3.5025593288314748E-2"/>
    <n v="5.8405063329836304E-2"/>
    <n v="-2.3379470041521556E-2"/>
    <n v="-1.6196386301346052E-3"/>
    <n v="-2.499910867165616E-2"/>
    <n v="0"/>
    <n v="0"/>
    <n v="0"/>
    <n v="-2.499910867165616E-2"/>
  </r>
  <r>
    <x v="0"/>
    <d v="2023-02-03T00:00:00"/>
    <d v="2023-02-24T00:00:00"/>
    <x v="12"/>
    <n v="9"/>
    <n v="7"/>
    <n v="5.8995013464481114E-4"/>
    <n v="3.5379387159913887E-4"/>
    <n v="2.4765571011939719E-3"/>
    <n v="4.1296509425136777E-3"/>
    <n v="-1.6530938413197058E-3"/>
    <n v="-1.1451990314083067E-4"/>
    <n v="-1.7676137444605365E-3"/>
    <n v="0"/>
    <n v="0"/>
    <n v="0"/>
    <n v="-1.7676137444605365E-3"/>
  </r>
  <r>
    <x v="1"/>
    <d v="2023-03-03T00:00:00"/>
    <d v="2023-03-24T00:00:00"/>
    <x v="12"/>
    <n v="9"/>
    <n v="10"/>
    <n v="5.8995013464481114E-4"/>
    <n v="3.5379387159913887E-4"/>
    <n v="3.5379387159913886E-3"/>
    <n v="5.8995013464481112E-3"/>
    <n v="-2.3615626304567226E-3"/>
    <n v="-1.6359986162975811E-4"/>
    <n v="-2.5251624920864806E-3"/>
    <n v="0"/>
    <n v="0"/>
    <n v="0"/>
    <n v="-2.5251624920864806E-3"/>
  </r>
  <r>
    <x v="2"/>
    <d v="2023-04-05T00:00:00"/>
    <d v="2023-04-24T00:00:00"/>
    <x v="12"/>
    <n v="9"/>
    <n v="8"/>
    <n v="5.8995013464481114E-4"/>
    <n v="3.5379387159913887E-4"/>
    <n v="2.830350972793111E-3"/>
    <n v="4.7196010771584892E-3"/>
    <n v="-1.8892501043653782E-3"/>
    <n v="-1.3087988930380646E-4"/>
    <n v="-2.0201299936691845E-3"/>
    <n v="0"/>
    <n v="0"/>
    <n v="0"/>
    <n v="-2.0201299936691845E-3"/>
  </r>
  <r>
    <x v="3"/>
    <d v="2023-05-03T00:00:00"/>
    <d v="2023-05-24T00:00:00"/>
    <x v="12"/>
    <n v="9"/>
    <n v="8"/>
    <n v="5.8995013464481114E-4"/>
    <n v="3.5379387159913887E-4"/>
    <n v="2.830350972793111E-3"/>
    <n v="4.7196010771584892E-3"/>
    <n v="-1.8892501043653782E-3"/>
    <n v="-1.3087988930380646E-4"/>
    <n v="-2.0201299936691845E-3"/>
    <n v="0"/>
    <n v="0"/>
    <n v="0"/>
    <n v="-2.0201299936691845E-3"/>
  </r>
  <r>
    <x v="4"/>
    <d v="2023-06-05T00:00:00"/>
    <d v="2023-06-26T00:00:00"/>
    <x v="12"/>
    <n v="9"/>
    <n v="10"/>
    <n v="5.8995013464481114E-4"/>
    <n v="3.5379387159913887E-4"/>
    <n v="3.5379387159913886E-3"/>
    <n v="5.8995013464481112E-3"/>
    <n v="-2.3615626304567226E-3"/>
    <n v="-1.6359986162975811E-4"/>
    <n v="-2.5251624920864806E-3"/>
    <n v="0"/>
    <n v="0"/>
    <n v="0"/>
    <n v="-2.5251624920864806E-3"/>
  </r>
  <r>
    <x v="5"/>
    <d v="2023-07-05T00:00:00"/>
    <d v="2023-07-24T00:00:00"/>
    <x v="12"/>
    <n v="9"/>
    <n v="12"/>
    <n v="5.8995013464481114E-4"/>
    <n v="3.5379387159913887E-4"/>
    <n v="4.2455264591896667E-3"/>
    <n v="7.0794016157377342E-3"/>
    <n v="-2.8338751565480675E-3"/>
    <n v="-1.9631983395570969E-4"/>
    <n v="-3.030194990503777E-3"/>
    <n v="0"/>
    <n v="0"/>
    <n v="0"/>
    <n v="-3.030194990503777E-3"/>
  </r>
  <r>
    <x v="6"/>
    <d v="2023-08-03T00:00:00"/>
    <d v="2023-08-24T00:00:00"/>
    <x v="12"/>
    <n v="9"/>
    <n v="14"/>
    <n v="5.8995013464481114E-4"/>
    <n v="3.5379387159913887E-4"/>
    <n v="4.9531142023879439E-3"/>
    <n v="8.2593018850273554E-3"/>
    <n v="-3.3061876826394115E-3"/>
    <n v="-2.2903980628166134E-4"/>
    <n v="-3.5352274889210731E-3"/>
    <n v="0"/>
    <n v="0"/>
    <n v="0"/>
    <n v="-3.5352274889210731E-3"/>
  </r>
  <r>
    <x v="7"/>
    <d v="2023-09-05T00:00:00"/>
    <d v="2023-09-25T00:00:00"/>
    <x v="12"/>
    <n v="9"/>
    <n v="13"/>
    <n v="5.8995013464481114E-4"/>
    <n v="3.5379387159913887E-4"/>
    <n v="4.5993203307888057E-3"/>
    <n v="7.6693517503825448E-3"/>
    <n v="-3.0700314195937391E-3"/>
    <n v="-2.1267982011868549E-4"/>
    <n v="-3.2827112397124246E-3"/>
    <n v="0"/>
    <n v="0"/>
    <n v="0"/>
    <n v="-3.2827112397124246E-3"/>
  </r>
  <r>
    <x v="8"/>
    <d v="2023-10-04T00:00:00"/>
    <d v="2023-10-24T00:00:00"/>
    <x v="12"/>
    <n v="9"/>
    <n v="13"/>
    <n v="5.8995013464481114E-4"/>
    <n v="3.5379387159913887E-4"/>
    <n v="4.5993203307888057E-3"/>
    <n v="7.6693517503825448E-3"/>
    <n v="-3.0700314195937391E-3"/>
    <n v="-2.1267982011868549E-4"/>
    <n v="-3.2827112397124246E-3"/>
    <n v="0"/>
    <n v="0"/>
    <n v="0"/>
    <n v="-3.2827112397124246E-3"/>
  </r>
  <r>
    <x v="9"/>
    <d v="2023-11-03T00:00:00"/>
    <d v="2023-11-24T00:00:00"/>
    <x v="12"/>
    <n v="9"/>
    <n v="11"/>
    <n v="5.8995013464481114E-4"/>
    <n v="3.5379387159913887E-4"/>
    <n v="3.8917325875905276E-3"/>
    <n v="6.4894514810929227E-3"/>
    <n v="-2.5977188935023951E-3"/>
    <n v="-1.799598477927339E-4"/>
    <n v="-2.777678741295129E-3"/>
    <n v="0"/>
    <n v="0"/>
    <n v="0"/>
    <n v="-2.777678741295129E-3"/>
  </r>
  <r>
    <x v="10"/>
    <d v="2023-12-06T00:00:00"/>
    <d v="2023-12-25T00:00:00"/>
    <x v="12"/>
    <n v="9"/>
    <n v="7"/>
    <n v="5.8995013464481114E-4"/>
    <n v="3.5379387159913887E-4"/>
    <n v="2.4765571011939719E-3"/>
    <n v="4.1296509425136777E-3"/>
    <n v="-1.6530938413197058E-3"/>
    <n v="-1.1451990314083067E-4"/>
    <n v="-1.7676137444605365E-3"/>
    <n v="0"/>
    <n v="0"/>
    <n v="0"/>
    <n v="-1.7676137444605365E-3"/>
  </r>
  <r>
    <x v="11"/>
    <d v="2024-01-03T00:00:00"/>
    <d v="2024-01-24T00:00:00"/>
    <x v="12"/>
    <n v="9"/>
    <n v="8"/>
    <n v="5.8995013464481114E-4"/>
    <n v="3.5379387159913887E-4"/>
    <n v="2.830350972793111E-3"/>
    <n v="4.7196010771584892E-3"/>
    <n v="-1.8892501043653782E-3"/>
    <n v="-1.3087988930380646E-4"/>
    <n v="-2.0201299936691845E-3"/>
    <n v="0"/>
    <n v="0"/>
    <n v="0"/>
    <n v="-2.0201299936691845E-3"/>
  </r>
  <r>
    <x v="0"/>
    <d v="2023-02-03T00:00:00"/>
    <d v="2023-02-24T00:00:00"/>
    <x v="13"/>
    <n v="9"/>
    <n v="21"/>
    <n v="5.8995013464481114E-4"/>
    <n v="3.5379387159913887E-4"/>
    <n v="7.4296713035819162E-3"/>
    <n v="1.2388952827541034E-2"/>
    <n v="-4.9592815239591177E-3"/>
    <n v="-3.4355970942249201E-4"/>
    <n v="-5.30284123338161E-3"/>
    <n v="0"/>
    <n v="0"/>
    <n v="0"/>
    <n v="-5.30284123338161E-3"/>
  </r>
  <r>
    <x v="1"/>
    <d v="2023-03-03T00:00:00"/>
    <d v="2023-03-24T00:00:00"/>
    <x v="13"/>
    <n v="9"/>
    <n v="21"/>
    <n v="5.8995013464481114E-4"/>
    <n v="3.5379387159913887E-4"/>
    <n v="7.4296713035819162E-3"/>
    <n v="1.2388952827541034E-2"/>
    <n v="-4.9592815239591177E-3"/>
    <n v="-3.4355970942249201E-4"/>
    <n v="-5.30284123338161E-3"/>
    <n v="0"/>
    <n v="0"/>
    <n v="0"/>
    <n v="-5.30284123338161E-3"/>
  </r>
  <r>
    <x v="2"/>
    <d v="2023-04-05T00:00:00"/>
    <d v="2023-04-24T00:00:00"/>
    <x v="13"/>
    <n v="9"/>
    <n v="19"/>
    <n v="5.8995013464481114E-4"/>
    <n v="3.5379387159913887E-4"/>
    <n v="6.7220835603836382E-3"/>
    <n v="1.1209052558251411E-2"/>
    <n v="-4.4869689978677728E-3"/>
    <n v="-3.1083973709654042E-4"/>
    <n v="-4.7978087349643131E-3"/>
    <n v="0"/>
    <n v="0"/>
    <n v="0"/>
    <n v="-4.7978087349643131E-3"/>
  </r>
  <r>
    <x v="3"/>
    <d v="2023-05-03T00:00:00"/>
    <d v="2023-05-24T00:00:00"/>
    <x v="13"/>
    <n v="9"/>
    <n v="21"/>
    <n v="5.8995013464481114E-4"/>
    <n v="3.5379387159913887E-4"/>
    <n v="7.4296713035819162E-3"/>
    <n v="1.2388952827541034E-2"/>
    <n v="-4.9592815239591177E-3"/>
    <n v="-3.4355970942249201E-4"/>
    <n v="-5.30284123338161E-3"/>
    <n v="0"/>
    <n v="0"/>
    <n v="0"/>
    <n v="-5.30284123338161E-3"/>
  </r>
  <r>
    <x v="4"/>
    <d v="2023-06-05T00:00:00"/>
    <d v="2023-06-26T00:00:00"/>
    <x v="13"/>
    <n v="9"/>
    <n v="28"/>
    <n v="5.8995013464481114E-4"/>
    <n v="3.5379387159913887E-4"/>
    <n v="9.9062284047758877E-3"/>
    <n v="1.6518603770054711E-2"/>
    <n v="-6.612375365278823E-3"/>
    <n v="-4.5807961256332267E-4"/>
    <n v="-7.0704549778421461E-3"/>
    <n v="0"/>
    <n v="0"/>
    <n v="0"/>
    <n v="-7.0704549778421461E-3"/>
  </r>
  <r>
    <x v="5"/>
    <d v="2023-07-05T00:00:00"/>
    <d v="2023-07-24T00:00:00"/>
    <x v="13"/>
    <n v="9"/>
    <n v="37"/>
    <n v="5.8995013464481114E-4"/>
    <n v="3.5379387159913887E-4"/>
    <n v="1.3090373249168138E-2"/>
    <n v="2.1828154981858014E-2"/>
    <n v="-8.7377817326898758E-3"/>
    <n v="-6.0531948803010493E-4"/>
    <n v="-9.34310122071998E-3"/>
    <n v="0"/>
    <n v="0"/>
    <n v="0"/>
    <n v="-9.34310122071998E-3"/>
  </r>
  <r>
    <x v="6"/>
    <d v="2023-08-03T00:00:00"/>
    <d v="2023-08-24T00:00:00"/>
    <x v="13"/>
    <n v="9"/>
    <n v="38"/>
    <n v="5.8995013464481114E-4"/>
    <n v="3.5379387159913887E-4"/>
    <n v="1.3444167120767276E-2"/>
    <n v="2.2418105116502822E-2"/>
    <n v="-8.9739379957355456E-3"/>
    <n v="-6.2167947419308083E-4"/>
    <n v="-9.5956174699286263E-3"/>
    <n v="0"/>
    <n v="0"/>
    <n v="0"/>
    <n v="-9.5956174699286263E-3"/>
  </r>
  <r>
    <x v="7"/>
    <d v="2023-09-05T00:00:00"/>
    <d v="2023-09-25T00:00:00"/>
    <x v="13"/>
    <n v="9"/>
    <n v="40"/>
    <n v="5.8995013464481114E-4"/>
    <n v="3.5379387159913887E-4"/>
    <n v="1.4151754863965554E-2"/>
    <n v="2.3598005385792445E-2"/>
    <n v="-9.4462505218268905E-3"/>
    <n v="-6.5439944651903242E-4"/>
    <n v="-1.0100649968345922E-2"/>
    <n v="0"/>
    <n v="0"/>
    <n v="0"/>
    <n v="-1.0100649968345922E-2"/>
  </r>
  <r>
    <x v="8"/>
    <d v="2023-10-04T00:00:00"/>
    <d v="2023-10-24T00:00:00"/>
    <x v="13"/>
    <n v="9"/>
    <n v="37"/>
    <n v="5.8995013464481114E-4"/>
    <n v="3.5379387159913887E-4"/>
    <n v="1.3090373249168138E-2"/>
    <n v="2.1828154981858014E-2"/>
    <n v="-8.7377817326898758E-3"/>
    <n v="-6.0531948803010493E-4"/>
    <n v="-9.34310122071998E-3"/>
    <n v="0"/>
    <n v="0"/>
    <n v="0"/>
    <n v="-9.34310122071998E-3"/>
  </r>
  <r>
    <x v="9"/>
    <d v="2023-11-03T00:00:00"/>
    <d v="2023-11-24T00:00:00"/>
    <x v="13"/>
    <n v="9"/>
    <n v="30"/>
    <n v="5.8995013464481114E-4"/>
    <n v="3.5379387159913887E-4"/>
    <n v="1.0613816147974166E-2"/>
    <n v="1.7698504039344334E-2"/>
    <n v="-7.0846878913701679E-3"/>
    <n v="-4.9079958488927426E-4"/>
    <n v="-7.5754874762594421E-3"/>
    <n v="0"/>
    <n v="0"/>
    <n v="0"/>
    <n v="-7.5754874762594421E-3"/>
  </r>
  <r>
    <x v="10"/>
    <d v="2023-12-06T00:00:00"/>
    <d v="2023-12-25T00:00:00"/>
    <x v="13"/>
    <n v="9"/>
    <n v="19"/>
    <n v="5.8995013464481114E-4"/>
    <n v="3.5379387159913887E-4"/>
    <n v="6.7220835603836382E-3"/>
    <n v="1.1209052558251411E-2"/>
    <n v="-4.4869689978677728E-3"/>
    <n v="-3.1083973709654042E-4"/>
    <n v="-4.7978087349643131E-3"/>
    <n v="0"/>
    <n v="0"/>
    <n v="0"/>
    <n v="-4.7978087349643131E-3"/>
  </r>
  <r>
    <x v="11"/>
    <d v="2024-01-03T00:00:00"/>
    <d v="2024-01-24T00:00:00"/>
    <x v="13"/>
    <n v="9"/>
    <n v="20"/>
    <n v="5.8995013464481114E-4"/>
    <n v="3.5379387159913887E-4"/>
    <n v="7.0758774319827772E-3"/>
    <n v="1.1799002692896222E-2"/>
    <n v="-4.7231252609134453E-3"/>
    <n v="-3.2719972325951621E-4"/>
    <n v="-5.0503249841729611E-3"/>
    <n v="0"/>
    <n v="0"/>
    <n v="0"/>
    <n v="-5.0503249841729611E-3"/>
  </r>
  <r>
    <x v="0"/>
    <d v="2023-02-03T00:00:00"/>
    <d v="2023-02-24T00:00:00"/>
    <x v="14"/>
    <n v="9"/>
    <n v="36"/>
    <n v="5.8995013464481114E-4"/>
    <n v="3.5379387159913887E-4"/>
    <n v="1.2736579377569E-2"/>
    <n v="2.1238204847213202E-2"/>
    <n v="-8.5016254696442025E-3"/>
    <n v="-5.8895950186712914E-4"/>
    <n v="-9.090584971511332E-3"/>
    <n v="0"/>
    <n v="0"/>
    <n v="0"/>
    <n v="-9.090584971511332E-3"/>
  </r>
  <r>
    <x v="1"/>
    <d v="2023-03-03T00:00:00"/>
    <d v="2023-03-24T00:00:00"/>
    <x v="14"/>
    <n v="9"/>
    <n v="32"/>
    <n v="5.8995013464481114E-4"/>
    <n v="3.5379387159913887E-4"/>
    <n v="1.1321403891172444E-2"/>
    <n v="1.8878404308633957E-2"/>
    <n v="-7.5570004174615128E-3"/>
    <n v="-5.2351955721522585E-4"/>
    <n v="-8.0805199746767382E-3"/>
    <n v="0"/>
    <n v="0"/>
    <n v="0"/>
    <n v="-8.0805199746767382E-3"/>
  </r>
  <r>
    <x v="2"/>
    <d v="2023-04-05T00:00:00"/>
    <d v="2023-04-24T00:00:00"/>
    <x v="14"/>
    <n v="9"/>
    <n v="32"/>
    <n v="5.8995013464481114E-4"/>
    <n v="3.5379387159913887E-4"/>
    <n v="1.1321403891172444E-2"/>
    <n v="1.8878404308633957E-2"/>
    <n v="-7.5570004174615128E-3"/>
    <n v="-5.2351955721522585E-4"/>
    <n v="-8.0805199746767382E-3"/>
    <n v="0"/>
    <n v="0"/>
    <n v="0"/>
    <n v="-8.0805199746767382E-3"/>
  </r>
  <r>
    <x v="3"/>
    <d v="2023-05-03T00:00:00"/>
    <d v="2023-05-24T00:00:00"/>
    <x v="14"/>
    <n v="9"/>
    <n v="31"/>
    <n v="5.8995013464481114E-4"/>
    <n v="3.5379387159913887E-4"/>
    <n v="1.0967610019573306E-2"/>
    <n v="1.8288454173989145E-2"/>
    <n v="-7.3208441544158395E-3"/>
    <n v="-5.0715957105225006E-4"/>
    <n v="-7.8280037254680902E-3"/>
    <n v="0"/>
    <n v="0"/>
    <n v="0"/>
    <n v="-7.8280037254680902E-3"/>
  </r>
  <r>
    <x v="4"/>
    <d v="2023-06-05T00:00:00"/>
    <d v="2023-06-26T00:00:00"/>
    <x v="14"/>
    <n v="9"/>
    <n v="38"/>
    <n v="5.8995013464481114E-4"/>
    <n v="3.5379387159913887E-4"/>
    <n v="1.3444167120767276E-2"/>
    <n v="2.2418105116502822E-2"/>
    <n v="-8.9739379957355456E-3"/>
    <n v="-6.2167947419308083E-4"/>
    <n v="-9.5956174699286263E-3"/>
    <n v="0"/>
    <n v="0"/>
    <n v="0"/>
    <n v="-9.5956174699286263E-3"/>
  </r>
  <r>
    <x v="5"/>
    <d v="2023-07-05T00:00:00"/>
    <d v="2023-07-24T00:00:00"/>
    <x v="14"/>
    <n v="9"/>
    <n v="48"/>
    <n v="5.8995013464481114E-4"/>
    <n v="3.5379387159913887E-4"/>
    <n v="1.6982105836758667E-2"/>
    <n v="2.8317606462950937E-2"/>
    <n v="-1.133550062619227E-2"/>
    <n v="-7.8527933582283878E-4"/>
    <n v="-1.2120779962015108E-2"/>
    <n v="0"/>
    <n v="0"/>
    <n v="0"/>
    <n v="-1.2120779962015108E-2"/>
  </r>
  <r>
    <x v="6"/>
    <d v="2023-08-03T00:00:00"/>
    <d v="2023-08-24T00:00:00"/>
    <x v="14"/>
    <n v="9"/>
    <n v="49"/>
    <n v="5.8995013464481114E-4"/>
    <n v="3.5379387159913887E-4"/>
    <n v="1.7335899708357805E-2"/>
    <n v="2.8907556597595745E-2"/>
    <n v="-1.157165688923794E-2"/>
    <n v="-8.0163932198581457E-4"/>
    <n v="-1.2373296211223754E-2"/>
    <n v="0"/>
    <n v="0"/>
    <n v="0"/>
    <n v="-1.2373296211223754E-2"/>
  </r>
  <r>
    <x v="7"/>
    <d v="2023-09-05T00:00:00"/>
    <d v="2023-09-25T00:00:00"/>
    <x v="14"/>
    <n v="9"/>
    <n v="50"/>
    <n v="5.8995013464481114E-4"/>
    <n v="3.5379387159913887E-4"/>
    <n v="1.7689693579956943E-2"/>
    <n v="2.9497506732240556E-2"/>
    <n v="-1.1807813152283613E-2"/>
    <n v="-8.1799930814879037E-4"/>
    <n v="-1.2625812460432404E-2"/>
    <n v="0"/>
    <n v="0"/>
    <n v="0"/>
    <n v="-1.2625812460432404E-2"/>
  </r>
  <r>
    <x v="8"/>
    <d v="2023-10-04T00:00:00"/>
    <d v="2023-10-24T00:00:00"/>
    <x v="14"/>
    <n v="9"/>
    <n v="47"/>
    <n v="5.8995013464481114E-4"/>
    <n v="3.5379387159913887E-4"/>
    <n v="1.6628311965159528E-2"/>
    <n v="2.7727656328306125E-2"/>
    <n v="-1.1099344363146597E-2"/>
    <n v="-7.6891934965986298E-4"/>
    <n v="-1.186826371280646E-2"/>
    <n v="0"/>
    <n v="0"/>
    <n v="0"/>
    <n v="-1.186826371280646E-2"/>
  </r>
  <r>
    <x v="9"/>
    <d v="2023-11-03T00:00:00"/>
    <d v="2023-11-24T00:00:00"/>
    <x v="14"/>
    <n v="9"/>
    <n v="36"/>
    <n v="5.8995013464481114E-4"/>
    <n v="3.5379387159913887E-4"/>
    <n v="1.2736579377569E-2"/>
    <n v="2.1238204847213202E-2"/>
    <n v="-8.5016254696442025E-3"/>
    <n v="-5.8895950186712914E-4"/>
    <n v="-9.090584971511332E-3"/>
    <n v="0"/>
    <n v="0"/>
    <n v="0"/>
    <n v="-9.090584971511332E-3"/>
  </r>
  <r>
    <x v="10"/>
    <d v="2023-12-06T00:00:00"/>
    <d v="2023-12-25T00:00:00"/>
    <x v="14"/>
    <n v="9"/>
    <n v="26"/>
    <n v="5.8995013464481114E-4"/>
    <n v="3.5379387159913887E-4"/>
    <n v="9.1986406615776114E-3"/>
    <n v="1.533870350076509E-2"/>
    <n v="-6.1400628391874781E-3"/>
    <n v="-4.2535964023737098E-4"/>
    <n v="-6.5654224794248492E-3"/>
    <n v="0"/>
    <n v="0"/>
    <n v="0"/>
    <n v="-6.5654224794248492E-3"/>
  </r>
  <r>
    <x v="11"/>
    <d v="2024-01-03T00:00:00"/>
    <d v="2024-01-24T00:00:00"/>
    <x v="14"/>
    <n v="9"/>
    <n v="31"/>
    <n v="5.8995013464481114E-4"/>
    <n v="3.5379387159913887E-4"/>
    <n v="1.0967610019573306E-2"/>
    <n v="1.8288454173989145E-2"/>
    <n v="-7.3208441544158395E-3"/>
    <n v="-5.0715957105225006E-4"/>
    <n v="-7.8280037254680902E-3"/>
    <n v="0"/>
    <n v="0"/>
    <n v="0"/>
    <n v="-7.8280037254680902E-3"/>
  </r>
  <r>
    <x v="0"/>
    <d v="2023-02-03T00:00:00"/>
    <d v="2023-02-24T00:00:00"/>
    <x v="15"/>
    <n v="9"/>
    <n v="104"/>
    <n v="5.8995013464481114E-4"/>
    <n v="3.5379387159913887E-4"/>
    <n v="3.6794562646310446E-2"/>
    <n v="6.1354814003060358E-2"/>
    <n v="-2.4560251356749913E-2"/>
    <n v="-1.7014385609494839E-3"/>
    <n v="-2.6261689917699397E-2"/>
    <n v="0"/>
    <n v="0"/>
    <n v="0"/>
    <n v="-2.6261689917699397E-2"/>
  </r>
  <r>
    <x v="1"/>
    <d v="2023-03-03T00:00:00"/>
    <d v="2023-03-24T00:00:00"/>
    <x v="15"/>
    <n v="9"/>
    <n v="107"/>
    <n v="5.8995013464481114E-4"/>
    <n v="3.5379387159913887E-4"/>
    <n v="3.785594426110786E-2"/>
    <n v="6.3124664406994796E-2"/>
    <n v="-2.5268720145886936E-2"/>
    <n v="-1.7505185194384115E-3"/>
    <n v="-2.7019238665325348E-2"/>
    <n v="0"/>
    <n v="0"/>
    <n v="0"/>
    <n v="-2.7019238665325348E-2"/>
  </r>
  <r>
    <x v="2"/>
    <d v="2023-04-05T00:00:00"/>
    <d v="2023-04-24T00:00:00"/>
    <x v="15"/>
    <n v="9"/>
    <n v="103"/>
    <n v="5.8995013464481114E-4"/>
    <n v="3.5379387159913887E-4"/>
    <n v="3.64407687747113E-2"/>
    <n v="6.076486386841555E-2"/>
    <n v="-2.432409509370425E-2"/>
    <n v="-1.6850785747865083E-3"/>
    <n v="-2.6009173668490759E-2"/>
    <n v="0"/>
    <n v="0"/>
    <n v="0"/>
    <n v="-2.6009173668490759E-2"/>
  </r>
  <r>
    <x v="3"/>
    <d v="2023-05-03T00:00:00"/>
    <d v="2023-05-24T00:00:00"/>
    <x v="15"/>
    <n v="9"/>
    <n v="98"/>
    <n v="5.8995013464481114E-4"/>
    <n v="3.5379387159913887E-4"/>
    <n v="3.467179941671561E-2"/>
    <n v="5.7815113195191489E-2"/>
    <n v="-2.314331377847588E-2"/>
    <n v="-1.6032786439716291E-3"/>
    <n v="-2.4746592422447509E-2"/>
    <n v="0"/>
    <n v="0"/>
    <n v="0"/>
    <n v="-2.4746592422447509E-2"/>
  </r>
  <r>
    <x v="4"/>
    <d v="2023-06-05T00:00:00"/>
    <d v="2023-06-26T00:00:00"/>
    <x v="15"/>
    <n v="9"/>
    <n v="105"/>
    <n v="5.8995013464481114E-4"/>
    <n v="3.5379387159913887E-4"/>
    <n v="3.7148356517909584E-2"/>
    <n v="6.1944764137705173E-2"/>
    <n v="-2.4796407619795589E-2"/>
    <n v="-1.7177985471124599E-3"/>
    <n v="-2.6514206166908048E-2"/>
    <n v="0"/>
    <n v="0"/>
    <n v="0"/>
    <n v="-2.6514206166908048E-2"/>
  </r>
  <r>
    <x v="5"/>
    <d v="2023-07-05T00:00:00"/>
    <d v="2023-07-24T00:00:00"/>
    <x v="15"/>
    <n v="9"/>
    <n v="115"/>
    <n v="5.8995013464481114E-4"/>
    <n v="3.5379387159913887E-4"/>
    <n v="4.0686295233900972E-2"/>
    <n v="6.7844265484153288E-2"/>
    <n v="-2.7157970250252315E-2"/>
    <n v="-1.8813984087422179E-3"/>
    <n v="-2.9039368658994532E-2"/>
    <n v="0"/>
    <n v="0"/>
    <n v="0"/>
    <n v="-2.9039368658994532E-2"/>
  </r>
  <r>
    <x v="6"/>
    <d v="2023-08-03T00:00:00"/>
    <d v="2023-08-24T00:00:00"/>
    <x v="15"/>
    <n v="9"/>
    <n v="110"/>
    <n v="5.8995013464481114E-4"/>
    <n v="3.5379387159913887E-4"/>
    <n v="3.8917325875905275E-2"/>
    <n v="6.4894514810929227E-2"/>
    <n v="-2.5977188935023952E-2"/>
    <n v="-1.7995984779273391E-3"/>
    <n v="-2.7776787412951292E-2"/>
    <n v="0"/>
    <n v="0"/>
    <n v="0"/>
    <n v="-2.7776787412951292E-2"/>
  </r>
  <r>
    <x v="7"/>
    <d v="2023-09-05T00:00:00"/>
    <d v="2023-09-25T00:00:00"/>
    <x v="15"/>
    <n v="9"/>
    <n v="109"/>
    <n v="5.8995013464481114E-4"/>
    <n v="3.5379387159913887E-4"/>
    <n v="3.8563532004306136E-2"/>
    <n v="6.4304564676284412E-2"/>
    <n v="-2.5741032671978276E-2"/>
    <n v="-1.7832384917643631E-3"/>
    <n v="-2.752427116374264E-2"/>
    <n v="0"/>
    <n v="0"/>
    <n v="0"/>
    <n v="-2.752427116374264E-2"/>
  </r>
  <r>
    <x v="8"/>
    <d v="2023-10-04T00:00:00"/>
    <d v="2023-10-24T00:00:00"/>
    <x v="15"/>
    <n v="9"/>
    <n v="112"/>
    <n v="5.8995013464481114E-4"/>
    <n v="3.5379387159913887E-4"/>
    <n v="3.9624913619103551E-2"/>
    <n v="6.6074415080218843E-2"/>
    <n v="-2.6449501461115292E-2"/>
    <n v="-1.8323184502532907E-3"/>
    <n v="-2.8281819911368584E-2"/>
    <n v="0"/>
    <n v="0"/>
    <n v="0"/>
    <n v="-2.8281819911368584E-2"/>
  </r>
  <r>
    <x v="9"/>
    <d v="2023-11-03T00:00:00"/>
    <d v="2023-11-24T00:00:00"/>
    <x v="15"/>
    <n v="9"/>
    <n v="107"/>
    <n v="5.8995013464481114E-4"/>
    <n v="3.5379387159913887E-4"/>
    <n v="3.785594426110786E-2"/>
    <n v="6.3124664406994796E-2"/>
    <n v="-2.5268720145886936E-2"/>
    <n v="-1.7505185194384115E-3"/>
    <n v="-2.7019238665325348E-2"/>
    <n v="0"/>
    <n v="0"/>
    <n v="0"/>
    <n v="-2.7019238665325348E-2"/>
  </r>
  <r>
    <x v="10"/>
    <d v="2023-12-06T00:00:00"/>
    <d v="2023-12-25T00:00:00"/>
    <x v="15"/>
    <n v="9"/>
    <n v="104"/>
    <n v="5.8995013464481114E-4"/>
    <n v="3.5379387159913887E-4"/>
    <n v="3.6794562646310446E-2"/>
    <n v="6.1354814003060358E-2"/>
    <n v="-2.4560251356749913E-2"/>
    <n v="-1.7014385609494839E-3"/>
    <n v="-2.6261689917699397E-2"/>
    <n v="0"/>
    <n v="0"/>
    <n v="0"/>
    <n v="-2.6261689917699397E-2"/>
  </r>
  <r>
    <x v="11"/>
    <d v="2024-01-03T00:00:00"/>
    <d v="2024-01-24T00:00:00"/>
    <x v="15"/>
    <n v="9"/>
    <n v="101"/>
    <n v="5.8995013464481114E-4"/>
    <n v="3.5379387159913887E-4"/>
    <n v="3.5733181031513024E-2"/>
    <n v="5.9584963599125927E-2"/>
    <n v="-2.3851782567612903E-2"/>
    <n v="-1.6523586024605567E-3"/>
    <n v="-2.550414117007346E-2"/>
    <n v="0"/>
    <n v="0"/>
    <n v="0"/>
    <n v="-2.550414117007346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58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69">
        <item m="1" x="69"/>
        <item m="1" x="93"/>
        <item m="1" x="117"/>
        <item m="1" x="141"/>
        <item m="1" x="165"/>
        <item m="1" x="45"/>
        <item m="1" x="80"/>
        <item m="1" x="104"/>
        <item m="1" x="128"/>
        <item m="1" x="152"/>
        <item m="1" x="32"/>
        <item m="1" x="56"/>
        <item m="1" x="70"/>
        <item m="1" x="94"/>
        <item m="1" x="118"/>
        <item m="1" x="142"/>
        <item m="1" x="166"/>
        <item m="1" x="46"/>
        <item m="1" x="82"/>
        <item m="1" x="106"/>
        <item m="1" x="130"/>
        <item m="1" x="154"/>
        <item m="1" x="34"/>
        <item m="1" x="58"/>
        <item m="1" x="71"/>
        <item m="1" x="95"/>
        <item m="1" x="119"/>
        <item m="1" x="143"/>
        <item m="1" x="167"/>
        <item m="1" x="47"/>
        <item m="1" x="83"/>
        <item m="1" x="107"/>
        <item m="1" x="131"/>
        <item m="1" x="155"/>
        <item m="1" x="35"/>
        <item m="1" x="59"/>
        <item m="1" x="72"/>
        <item m="1" x="96"/>
        <item m="1" x="120"/>
        <item m="1" x="144"/>
        <item m="1" x="24"/>
        <item m="1" x="48"/>
        <item m="1" x="84"/>
        <item m="1" x="108"/>
        <item m="1" x="132"/>
        <item m="1" x="156"/>
        <item m="1" x="36"/>
        <item m="1" x="60"/>
        <item m="1" x="73"/>
        <item m="1" x="97"/>
        <item m="1" x="121"/>
        <item m="1" x="145"/>
        <item m="1" x="25"/>
        <item m="1" x="49"/>
        <item m="1" x="85"/>
        <item m="1" x="109"/>
        <item m="1" x="133"/>
        <item m="1" x="157"/>
        <item m="1" x="37"/>
        <item m="1" x="61"/>
        <item m="1" x="74"/>
        <item m="1" x="98"/>
        <item m="1" x="122"/>
        <item m="1" x="146"/>
        <item m="1" x="26"/>
        <item m="1" x="50"/>
        <item m="1" x="86"/>
        <item m="1" x="110"/>
        <item m="1" x="134"/>
        <item m="1" x="158"/>
        <item m="1" x="38"/>
        <item m="1" x="62"/>
        <item m="1" x="75"/>
        <item m="1" x="99"/>
        <item m="1" x="123"/>
        <item m="1" x="147"/>
        <item m="1" x="27"/>
        <item m="1" x="51"/>
        <item m="1" x="87"/>
        <item m="1" x="111"/>
        <item m="1" x="135"/>
        <item m="1" x="159"/>
        <item m="1" x="39"/>
        <item m="1" x="63"/>
        <item m="1" x="76"/>
        <item m="1" x="100"/>
        <item m="1" x="124"/>
        <item m="1" x="148"/>
        <item m="1" x="28"/>
        <item m="1" x="52"/>
        <item m="1" x="88"/>
        <item m="1" x="112"/>
        <item m="1" x="136"/>
        <item m="1" x="160"/>
        <item m="1" x="40"/>
        <item m="1" x="64"/>
        <item m="1" x="77"/>
        <item m="1" x="101"/>
        <item m="1" x="125"/>
        <item m="1" x="149"/>
        <item m="1" x="29"/>
        <item m="1" x="53"/>
        <item m="1" x="89"/>
        <item m="1" x="113"/>
        <item m="1" x="137"/>
        <item m="1" x="161"/>
        <item m="1" x="41"/>
        <item m="1" x="65"/>
        <item m="1" x="78"/>
        <item m="1" x="102"/>
        <item m="1" x="126"/>
        <item m="1" x="150"/>
        <item m="1" x="30"/>
        <item m="1" x="54"/>
        <item m="1" x="90"/>
        <item m="1" x="114"/>
        <item m="1" x="138"/>
        <item m="1" x="162"/>
        <item m="1" x="42"/>
        <item m="1" x="66"/>
        <item m="1" x="79"/>
        <item m="1" x="103"/>
        <item m="1" x="127"/>
        <item m="1" x="151"/>
        <item m="1" x="31"/>
        <item m="1" x="55"/>
        <item m="1" x="91"/>
        <item m="1" x="115"/>
        <item m="1" x="139"/>
        <item m="1" x="163"/>
        <item m="1" x="43"/>
        <item m="1" x="67"/>
        <item m="1" x="81"/>
        <item m="1" x="105"/>
        <item m="1" x="129"/>
        <item m="1" x="153"/>
        <item m="1" x="33"/>
        <item m="1" x="57"/>
        <item m="1" x="92"/>
        <item m="1" x="116"/>
        <item m="1" x="140"/>
        <item m="1" x="164"/>
        <item m="1" x="44"/>
        <item m="1" x="68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E20" sqref="E20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64</v>
      </c>
    </row>
    <row r="3" spans="1:2" x14ac:dyDescent="0.25">
      <c r="A3" s="2">
        <v>1</v>
      </c>
      <c r="B3" s="3" t="s">
        <v>66</v>
      </c>
    </row>
    <row r="4" spans="1:2" ht="13" x14ac:dyDescent="0.3">
      <c r="A4" s="2">
        <v>2</v>
      </c>
      <c r="B4" s="3" t="s">
        <v>65</v>
      </c>
    </row>
    <row r="5" spans="1:2" ht="13" x14ac:dyDescent="0.3">
      <c r="A5" s="2">
        <v>3</v>
      </c>
      <c r="B5" s="3" t="s">
        <v>67</v>
      </c>
    </row>
    <row r="6" spans="1:2" ht="13" x14ac:dyDescent="0.3">
      <c r="A6" s="2">
        <v>4</v>
      </c>
      <c r="B6" s="4" t="s">
        <v>81</v>
      </c>
    </row>
    <row r="7" spans="1:2" x14ac:dyDescent="0.25">
      <c r="A7" s="2">
        <v>5</v>
      </c>
      <c r="B7" s="3" t="s">
        <v>68</v>
      </c>
    </row>
    <row r="8" spans="1:2" x14ac:dyDescent="0.25">
      <c r="A8" s="2">
        <v>6</v>
      </c>
      <c r="B8" s="3" t="s">
        <v>69</v>
      </c>
    </row>
    <row r="9" spans="1:2" x14ac:dyDescent="0.25">
      <c r="A9" s="2">
        <v>7</v>
      </c>
      <c r="B9" s="5" t="s">
        <v>70</v>
      </c>
    </row>
    <row r="10" spans="1:2" ht="13" x14ac:dyDescent="0.3">
      <c r="A10" s="2">
        <v>8</v>
      </c>
      <c r="B10" s="3" t="s">
        <v>73</v>
      </c>
    </row>
    <row r="11" spans="1:2" x14ac:dyDescent="0.25">
      <c r="A11" s="2"/>
      <c r="B11" s="3" t="s">
        <v>74</v>
      </c>
    </row>
    <row r="12" spans="1:2" x14ac:dyDescent="0.25">
      <c r="A12" s="2"/>
      <c r="B12" s="5" t="s">
        <v>75</v>
      </c>
    </row>
    <row r="13" spans="1:2" x14ac:dyDescent="0.25">
      <c r="A13" s="2"/>
      <c r="B13" s="5" t="s">
        <v>76</v>
      </c>
    </row>
    <row r="14" spans="1:2" x14ac:dyDescent="0.25">
      <c r="A14" s="2">
        <v>9</v>
      </c>
      <c r="B14" s="3" t="s">
        <v>77</v>
      </c>
    </row>
    <row r="15" spans="1:2" x14ac:dyDescent="0.25">
      <c r="A15" s="2">
        <v>10</v>
      </c>
      <c r="B15" s="3" t="s">
        <v>79</v>
      </c>
    </row>
    <row r="16" spans="1:2" x14ac:dyDescent="0.25">
      <c r="A16" s="2">
        <v>11</v>
      </c>
      <c r="B16" s="3" t="s">
        <v>80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4"/>
  <sheetViews>
    <sheetView tabSelected="1" topLeftCell="A10" zoomScale="85" zoomScaleNormal="85" zoomScaleSheetLayoutView="100" workbookViewId="0">
      <selection activeCell="I29" sqref="I29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37" t="str">
        <f>+Transactions!B1</f>
        <v>AEPTCo Formula Rate -- FERC Docket ER18-194</v>
      </c>
      <c r="D1" s="237"/>
      <c r="E1" s="237"/>
      <c r="F1" s="237"/>
      <c r="G1" s="237"/>
      <c r="H1" s="237"/>
      <c r="I1" s="237"/>
      <c r="J1" s="6">
        <v>2023</v>
      </c>
    </row>
    <row r="2" spans="2:17" ht="13" x14ac:dyDescent="0.3">
      <c r="C2" s="237" t="s">
        <v>97</v>
      </c>
      <c r="D2" s="237"/>
      <c r="E2" s="237"/>
      <c r="F2" s="237"/>
      <c r="G2" s="237"/>
      <c r="H2" s="237"/>
      <c r="I2" s="237"/>
    </row>
    <row r="3" spans="2:17" ht="13" x14ac:dyDescent="0.3">
      <c r="C3" s="237" t="str">
        <f>"for period 01/01/"&amp;F8&amp;" - 12/31/"&amp;F8</f>
        <v>for period 01/01/2023 - 12/31/2023</v>
      </c>
      <c r="D3" s="237"/>
      <c r="E3" s="237"/>
      <c r="F3" s="237"/>
      <c r="G3" s="237"/>
      <c r="H3" s="237"/>
      <c r="I3" s="237"/>
    </row>
    <row r="4" spans="2:17" ht="13" x14ac:dyDescent="0.3">
      <c r="C4" s="237" t="s">
        <v>83</v>
      </c>
      <c r="D4" s="237"/>
      <c r="E4" s="237"/>
      <c r="F4" s="237"/>
      <c r="G4" s="237"/>
      <c r="H4" s="237"/>
      <c r="I4" s="237"/>
    </row>
    <row r="5" spans="2:17" x14ac:dyDescent="0.25">
      <c r="C5" s="7" t="str">
        <f>"Prepared:  May 24_, "&amp;J1&amp;""</f>
        <v>Prepared:  May 24_, 2023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2023</v>
      </c>
    </row>
    <row r="9" spans="2:17" ht="20.25" customHeight="1" x14ac:dyDescent="0.3">
      <c r="E9" s="12" t="s">
        <v>95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2023 Projections 2023)</v>
      </c>
      <c r="F10" s="18" t="str">
        <f>"(per "&amp;F8+1&amp;" Update of May "&amp;F8+1&amp;")"</f>
        <v>(per 2024 Update of May 2024)</v>
      </c>
      <c r="G10" s="19"/>
      <c r="H10" s="20"/>
    </row>
    <row r="11" spans="2:17" ht="21.75" customHeight="1" x14ac:dyDescent="0.25">
      <c r="B11" s="21"/>
      <c r="C11" s="22" t="s">
        <v>38</v>
      </c>
      <c r="D11" s="23" t="s">
        <v>36</v>
      </c>
      <c r="E11" s="24">
        <f>Transactions!K2</f>
        <v>64.557063333912396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36.150657800000012</v>
      </c>
      <c r="G12" s="32"/>
      <c r="H12" s="33"/>
    </row>
    <row r="13" spans="2:17" ht="21.75" customHeight="1" x14ac:dyDescent="0.25">
      <c r="B13" s="34"/>
      <c r="C13" s="35" t="s">
        <v>39</v>
      </c>
      <c r="D13" s="36" t="s">
        <v>37</v>
      </c>
      <c r="E13" s="37">
        <f>Transactions!K3</f>
        <v>5.8995013464481114E-4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3.5379387159913887E-4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94</v>
      </c>
      <c r="I19" s="54" t="s">
        <v>93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51</v>
      </c>
      <c r="D20" s="56" t="str">
        <f>"Actual Charge
("&amp;F8&amp;" True-Up)"</f>
        <v>Actual Charge
(2023 True-Up)</v>
      </c>
      <c r="E20" s="57" t="str">
        <f>"Invoiced for
CY"&amp;F8&amp;" Transmission Service"</f>
        <v>Invoiced for
CY2023 Transmission Service</v>
      </c>
      <c r="F20" s="56" t="s">
        <v>40</v>
      </c>
      <c r="G20" s="58" t="s">
        <v>7</v>
      </c>
      <c r="H20" s="58" t="s">
        <v>88</v>
      </c>
      <c r="I20" s="59" t="s">
        <v>45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3.380500443129772</v>
      </c>
      <c r="E21" s="62">
        <f>GETPIVOTDATA("Sum of "&amp;T(Transactions!$K$19),Pivot!$A$3,"Customer",C21)</f>
        <v>5.6369735365311708</v>
      </c>
      <c r="F21" s="62">
        <f>D21-E21</f>
        <v>-2.2564730934013988</v>
      </c>
      <c r="G21" s="51">
        <f>+GETPIVOTDATA("Sum of "&amp;T(Transactions!$M$19),Pivot!$A$3,"Customer","AECC")</f>
        <v>-0.15631966778723383</v>
      </c>
      <c r="H21" s="51">
        <f>GETPIVOTDATA("Sum of "&amp;T(Transactions!$Q$19),Pivot!$A$3,"Customer","AECC")</f>
        <v>0</v>
      </c>
      <c r="I21" s="63">
        <f>F21+G21-H21</f>
        <v>-2.4127927611886326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85</v>
      </c>
      <c r="D22" s="62">
        <f>GETPIVOTDATA("Sum of "&amp;T(Transactions!$J$19),Pivot!$A$3,"Customer",C22)</f>
        <v>0.1857417825895479</v>
      </c>
      <c r="E22" s="62">
        <f>GETPIVOTDATA("Sum of "&amp;T(Transactions!$K$19),Pivot!$A$3,"Customer",C22)</f>
        <v>0.30972382068852589</v>
      </c>
      <c r="F22" s="62">
        <f>D22-E22</f>
        <v>-0.12398203809897798</v>
      </c>
      <c r="G22" s="51">
        <f>+GETPIVOTDATA("Sum of "&amp;T(Transactions!$M$19),Pivot!$A$3,"Customer","AECI")</f>
        <v>-8.5889927355623005E-3</v>
      </c>
      <c r="H22" s="51">
        <f>GETPIVOTDATA("Sum of "&amp;T(Transactions!$Q$19),Pivot!$A$3,"Customer",C22)</f>
        <v>0</v>
      </c>
      <c r="I22" s="63">
        <f t="shared" ref="I22:I33" si="0">F22+G22-H22</f>
        <v>-0.13257103083454028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55</v>
      </c>
      <c r="D23" s="62">
        <f>GETPIVOTDATA("Sum of "&amp;T(Transactions!$J$19),Pivot!$A$3,"Customer",C23)</f>
        <v>0.53670530321589371</v>
      </c>
      <c r="E23" s="62">
        <f>GETPIVOTDATA("Sum of "&amp;T(Transactions!$K$19),Pivot!$A$3,"Customer",C23)</f>
        <v>0.89495435425617853</v>
      </c>
      <c r="F23" s="62">
        <f t="shared" ref="F23:F35" si="1">D23-E23</f>
        <v>-0.35824905104028482</v>
      </c>
      <c r="G23" s="51">
        <f>+GETPIVOTDATA("Sum of "&amp;T(Transactions!$M$19),Pivot!$A$3,"Customer","Bentonville, AR")</f>
        <v>-2.4818099009234301E-2</v>
      </c>
      <c r="H23" s="51">
        <f>GETPIVOTDATA("Sum of "&amp;T(Transactions!$Q$19),Pivot!$A$3,"Customer",C23)</f>
        <v>0</v>
      </c>
      <c r="I23" s="63">
        <f t="shared" si="0"/>
        <v>-0.38306715004951913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0.45108718628890199</v>
      </c>
      <c r="E24" s="62">
        <f>GETPIVOTDATA("Sum of "&amp;T(Transactions!$K$19),Pivot!$A$3,"Customer",C24)</f>
        <v>0.75218642167213412</v>
      </c>
      <c r="F24" s="62">
        <f t="shared" si="1"/>
        <v>-0.30109923538323213</v>
      </c>
      <c r="G24" s="51">
        <f>+GETPIVOTDATA("Sum of "&amp;T(Transactions!$M$19),Pivot!$A$3,"Customer","Coffeyville, KS")</f>
        <v>-2.0858982357794157E-2</v>
      </c>
      <c r="H24" s="51">
        <f>GETPIVOTDATA("Sum of "&amp;T(Transactions!$Q$19),Pivot!$A$3,"Customer",C24)</f>
        <v>0</v>
      </c>
      <c r="I24" s="63">
        <f t="shared" si="0"/>
        <v>-0.32195821774102629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3.6854707604482293</v>
      </c>
      <c r="E25" s="62">
        <f>GETPIVOTDATA("Sum of "&amp;T(Transactions!$K$19),Pivot!$A$3,"Customer",C25)</f>
        <v>6.1455105525949971</v>
      </c>
      <c r="F25" s="62">
        <f t="shared" si="1"/>
        <v>-2.4600397921467678</v>
      </c>
      <c r="G25" s="51">
        <f>+GETPIVOTDATA("Sum of "&amp;T(Transactions!$M$19),Pivot!$A$3,"Customer","ETEC")</f>
        <v>-0.17042197585971899</v>
      </c>
      <c r="H25" s="51">
        <f>GETPIVOTDATA("Sum of "&amp;T(Transactions!$Q$19),Pivot!$A$3,"Customer",C25)</f>
        <v>0</v>
      </c>
      <c r="I25" s="63">
        <f t="shared" si="0"/>
        <v>-2.6304617680064868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3.8209738132707005E-2</v>
      </c>
      <c r="E26" s="62">
        <f>GETPIVOTDATA("Sum of "&amp;T(Transactions!$K$19),Pivot!$A$3,"Customer",C26)</f>
        <v>6.3714614541639611E-2</v>
      </c>
      <c r="F26" s="62">
        <f t="shared" si="1"/>
        <v>-2.5504876408932606E-2</v>
      </c>
      <c r="G26" s="51">
        <f>+GETPIVOTDATA("Sum of "&amp;T(Transactions!$M$19),Pivot!$A$3,"Customer","Greenbelt")</f>
        <v>-1.7668785056013871E-3</v>
      </c>
      <c r="H26" s="51">
        <f>GETPIVOTDATA("Sum of "&amp;T(Transactions!$Q$19),Pivot!$A$3,"Customer",C26)</f>
        <v>0</v>
      </c>
      <c r="I26" s="63">
        <f t="shared" si="0"/>
        <v>-2.7271754914533992E-2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58</v>
      </c>
      <c r="D27" s="62">
        <f>GETPIVOTDATA("Sum of "&amp;T(Transactions!$J$19),Pivot!$A$3,"Customer",C27)</f>
        <v>0.16133000544920734</v>
      </c>
      <c r="E27" s="62">
        <f>GETPIVOTDATA("Sum of "&amp;T(Transactions!$K$19),Pivot!$A$3,"Customer",C27)</f>
        <v>0.26901726139803395</v>
      </c>
      <c r="F27" s="62">
        <f t="shared" si="1"/>
        <v>-0.10768725594882661</v>
      </c>
      <c r="G27" s="51">
        <f>+GETPIVOTDATA("Sum of "&amp;T(Transactions!$M$19),Pivot!$A$3,"Customer","Hope, AR")</f>
        <v>-7.4601536903169691E-3</v>
      </c>
      <c r="H27" s="51">
        <f>GETPIVOTDATA("Sum of "&amp;T(Transactions!$Q$19),Pivot!$A$3,"Customer",C27)</f>
        <v>0</v>
      </c>
      <c r="I27" s="63">
        <f t="shared" si="0"/>
        <v>-0.11514740963914358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1.9812456809551779E-2</v>
      </c>
      <c r="E28" s="62">
        <f>GETPIVOTDATA("Sum of "&amp;T(Transactions!$K$19),Pivot!$A$3,"Customer",C28)</f>
        <v>3.3037207540109421E-2</v>
      </c>
      <c r="F28" s="62">
        <f t="shared" si="1"/>
        <v>-1.3224750730557643E-2</v>
      </c>
      <c r="G28" s="51">
        <f>+GETPIVOTDATA("Sum of "&amp;T(Transactions!$M$19),Pivot!$A$3,"Customer","Lighthouse")</f>
        <v>-9.1615922512664535E-4</v>
      </c>
      <c r="H28" s="51">
        <f>GETPIVOTDATA("Sum of "&amp;T(Transactions!$Q$19),Pivot!$A$3,"Customer",C28)</f>
        <v>0</v>
      </c>
      <c r="I28" s="63">
        <f t="shared" si="0"/>
        <v>-1.4140909955684289E-2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57</v>
      </c>
      <c r="D29" s="62">
        <f>GETPIVOTDATA("Sum of "&amp;T(Transactions!$J$19),Pivot!$A$3,"Customer",C29)</f>
        <v>0.11710577149931495</v>
      </c>
      <c r="E29" s="62">
        <f>GETPIVOTDATA("Sum of "&amp;T(Transactions!$K$19),Pivot!$A$3,"Customer",C29)</f>
        <v>0.19527349456743251</v>
      </c>
      <c r="F29" s="62">
        <f t="shared" si="1"/>
        <v>-7.8167723068117562E-2</v>
      </c>
      <c r="G29" s="51">
        <f>+GETPIVOTDATA("Sum of "&amp;T(Transactions!$M$19),Pivot!$A$3,"Customer","Minden, LA")</f>
        <v>-5.4151554199449933E-3</v>
      </c>
      <c r="H29" s="51">
        <f>GETPIVOTDATA("Sum of "&amp;T(Transactions!$Q$19),Pivot!$A$3,"Customer",C29)</f>
        <v>0</v>
      </c>
      <c r="I29" s="63">
        <f t="shared" si="0"/>
        <v>-8.3582878488062562E-2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0.26180746498336277</v>
      </c>
      <c r="E30" s="62">
        <f>GETPIVOTDATA("Sum of "&amp;T(Transactions!$K$19),Pivot!$A$3,"Customer",C30)</f>
        <v>0.43656309963716022</v>
      </c>
      <c r="F30" s="62">
        <f t="shared" si="1"/>
        <v>-0.17475563465379745</v>
      </c>
      <c r="G30" s="51">
        <f>+GETPIVOTDATA("Sum of "&amp;T(Transactions!$M$19),Pivot!$A$3,"Customer","OG&amp;E")</f>
        <v>-1.2106389760602099E-2</v>
      </c>
      <c r="H30" s="51">
        <f>GETPIVOTDATA("Sum of "&amp;T(Transactions!$Q$19),Pivot!$A$3,"Customer",C30)</f>
        <v>0</v>
      </c>
      <c r="I30" s="63">
        <f t="shared" si="0"/>
        <v>-0.18686202441439956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0.44896442305930723</v>
      </c>
      <c r="E31" s="62">
        <f>GETPIVOTDATA("Sum of "&amp;T(Transactions!$K$19),Pivot!$A$3,"Customer",C31)</f>
        <v>0.74864672086426531</v>
      </c>
      <c r="F31" s="62">
        <f t="shared" si="1"/>
        <v>-0.29968229780495809</v>
      </c>
      <c r="G31" s="51">
        <f>+GETPIVOTDATA("Sum of "&amp;T(Transactions!$M$19),Pivot!$A$3,"Customer","OMPA")</f>
        <v>-2.0760822440816305E-2</v>
      </c>
      <c r="H31" s="51">
        <f>GETPIVOTDATA("Sum of "&amp;T(Transactions!$Q$19),Pivot!$A$3,"Customer",C31)</f>
        <v>0</v>
      </c>
      <c r="I31" s="63">
        <f t="shared" si="0"/>
        <v>-0.32044312024577437</v>
      </c>
      <c r="J31" s="60"/>
    </row>
    <row r="32" spans="2:17" x14ac:dyDescent="0.25">
      <c r="B32" s="60"/>
      <c r="C32" s="61" t="s">
        <v>56</v>
      </c>
      <c r="D32" s="62">
        <f>GETPIVOTDATA("Sum of "&amp;T(Transactions!$J$19),Pivot!$A$3,"Customer",C32)</f>
        <v>4.2809058463495808E-2</v>
      </c>
      <c r="E32" s="62">
        <f>GETPIVOTDATA("Sum of "&amp;T(Transactions!$K$19),Pivot!$A$3,"Customer",C32)</f>
        <v>7.138396629202215E-2</v>
      </c>
      <c r="F32" s="62">
        <f t="shared" si="1"/>
        <v>-2.8574907828526341E-2</v>
      </c>
      <c r="G32" s="51">
        <f>+GETPIVOTDATA("Sum of "&amp;T(Transactions!$M$19),Pivot!$A$3,"Customer","Prescott, AR")</f>
        <v>-1.9795583257200731E-3</v>
      </c>
      <c r="H32" s="51">
        <f>GETPIVOTDATA("Sum of "&amp;T(Transactions!$Q$19),Pivot!$A$3,"Customer",C32)</f>
        <v>0</v>
      </c>
      <c r="I32" s="63">
        <f t="shared" si="0"/>
        <v>-3.0554466154246413E-2</v>
      </c>
      <c r="J32" s="60"/>
    </row>
    <row r="33" spans="2:11" x14ac:dyDescent="0.25">
      <c r="B33" s="60"/>
      <c r="C33" s="66" t="s">
        <v>9</v>
      </c>
      <c r="D33" s="62">
        <f>GETPIVOTDATA("Sum of "&amp;T(Transactions!$J$19),Pivot!$A$3,"Customer",C33)</f>
        <v>0.21793702490506955</v>
      </c>
      <c r="E33" s="62">
        <f>GETPIVOTDATA("Sum of "&amp;T(Transactions!$K$19),Pivot!$A$3,"Customer",C33)</f>
        <v>0.36340928294120367</v>
      </c>
      <c r="F33" s="62">
        <f t="shared" si="1"/>
        <v>-0.14547225803613412</v>
      </c>
      <c r="G33" s="51">
        <f>+GETPIVOTDATA("Sum of "&amp;T(Transactions!$M$19),Pivot!$A$3,"Customer","WFEC")</f>
        <v>-1.0077751476393098E-2</v>
      </c>
      <c r="H33" s="51">
        <f>GETPIVOTDATA("Sum of "&amp;T(Transactions!$Q$19),Pivot!$A$3,"Customer",C33)</f>
        <v>0</v>
      </c>
      <c r="I33" s="63">
        <f t="shared" si="0"/>
        <v>-0.1555500095125272</v>
      </c>
      <c r="J33" s="60"/>
    </row>
    <row r="34" spans="2:11" ht="23" x14ac:dyDescent="0.25">
      <c r="C34" s="67" t="s">
        <v>43</v>
      </c>
      <c r="D34" s="68">
        <f t="shared" ref="D34:I34" si="2">SUM(D21:D33)</f>
        <v>9.5474814189743604</v>
      </c>
      <c r="E34" s="68">
        <f t="shared" si="2"/>
        <v>15.920394333524873</v>
      </c>
      <c r="F34" s="68">
        <f t="shared" si="2"/>
        <v>-6.372912914550513</v>
      </c>
      <c r="G34" s="69">
        <f t="shared" si="2"/>
        <v>-0.44149058659406509</v>
      </c>
      <c r="H34" s="69">
        <f t="shared" si="2"/>
        <v>0</v>
      </c>
      <c r="I34" s="70">
        <f t="shared" si="2"/>
        <v>-6.8144035011445778</v>
      </c>
    </row>
    <row r="35" spans="2:11" x14ac:dyDescent="0.25">
      <c r="C35" s="71" t="s">
        <v>21</v>
      </c>
      <c r="D35" s="62">
        <f>GETPIVOTDATA("Sum of "&amp;T(Transactions!$J$19),Pivot!$A$3,"Customer",C35)</f>
        <v>13.463271989833631</v>
      </c>
      <c r="E35" s="62">
        <f>GETPIVOTDATA("Sum of "&amp;T(Transactions!$K$19),Pivot!$A$3,"Customer",C35)</f>
        <v>22.449962423773641</v>
      </c>
      <c r="F35" s="62">
        <f t="shared" si="1"/>
        <v>-8.9866904339400104</v>
      </c>
      <c r="G35" s="51">
        <f>+GETPIVOTDATA("Sum of "&amp;T(Transactions!$M$19),Pivot!$A$3,"Customer","PSO")</f>
        <v>-0.62256291344588144</v>
      </c>
      <c r="H35" s="51">
        <f>GETPIVOTDATA("Sum of "&amp;T(Transactions!$Q$19),Pivot!$A$3,"Customer",C35)</f>
        <v>0</v>
      </c>
      <c r="I35" s="63">
        <f>F35+G35-H35</f>
        <v>-9.6092533473858914</v>
      </c>
    </row>
    <row r="36" spans="2:11" x14ac:dyDescent="0.25">
      <c r="C36" s="72" t="s">
        <v>22</v>
      </c>
      <c r="D36" s="62">
        <f>GETPIVOTDATA("Sum of "&amp;T(Transactions!$J$19),Pivot!$A$3,"Customer",C36)</f>
        <v>12.564989349843419</v>
      </c>
      <c r="E36" s="62">
        <f>GETPIVOTDATA("Sum of "&amp;T(Transactions!$K$19),Pivot!$A$3,"Customer",C36)</f>
        <v>20.952079031910468</v>
      </c>
      <c r="F36" s="62">
        <f>D36-E36</f>
        <v>-8.3870896820670495</v>
      </c>
      <c r="G36" s="51">
        <f>+GETPIVOTDATA("Sum of "&amp;T(Transactions!$M$19),Pivot!$A$3,"Customer","SWEPCO")</f>
        <v>-0.58102490857808575</v>
      </c>
      <c r="H36" s="51">
        <f>GETPIVOTDATA("Sum of "&amp;T(Transactions!$Q$19),Pivot!$A$3,"Customer",C36)</f>
        <v>0</v>
      </c>
      <c r="I36" s="63">
        <f>F36+G36-H36</f>
        <v>-8.9681145906451345</v>
      </c>
    </row>
    <row r="37" spans="2:11" x14ac:dyDescent="0.25">
      <c r="C37" s="73" t="s">
        <v>82</v>
      </c>
      <c r="D37" s="62">
        <f>GETPIVOTDATA("Sum of "&amp;T(Transactions!$J$19),Pivot!$A$3,"Customer",C37)</f>
        <v>0.57420745360540248</v>
      </c>
      <c r="E37" s="62">
        <f>GETPIVOTDATA("Sum of "&amp;T(Transactions!$K$19),Pivot!$A$3,"Customer",C37)</f>
        <v>0.95748906852852855</v>
      </c>
      <c r="F37" s="62">
        <f>D37-E37</f>
        <v>-0.38328161492312607</v>
      </c>
      <c r="G37" s="51">
        <f>+GETPIVOTDATA("Sum of "&amp;T(Transactions!$M$19),Pivot!$A$3,"Customer","SWEPCO-Valley")</f>
        <v>-2.6552257542509738E-2</v>
      </c>
      <c r="H37" s="51">
        <f>GETPIVOTDATA("Sum of "&amp;T(Transactions!$Q$19),Pivot!$A$3,"Customer",C37)</f>
        <v>0</v>
      </c>
      <c r="I37" s="63">
        <f>F37+G37-H37</f>
        <v>-0.4098338724656358</v>
      </c>
    </row>
    <row r="38" spans="2:11" ht="23" x14ac:dyDescent="0.25">
      <c r="C38" s="74" t="s">
        <v>52</v>
      </c>
      <c r="D38" s="75">
        <f t="shared" ref="D38:I38" si="3">SUM(D35:D37)</f>
        <v>26.602468793282455</v>
      </c>
      <c r="E38" s="75">
        <f t="shared" si="3"/>
        <v>44.359530524212644</v>
      </c>
      <c r="F38" s="75">
        <f t="shared" si="3"/>
        <v>-17.757061730930189</v>
      </c>
      <c r="G38" s="76">
        <f t="shared" si="3"/>
        <v>-1.230140079566477</v>
      </c>
      <c r="H38" s="76">
        <f t="shared" si="3"/>
        <v>0</v>
      </c>
      <c r="I38" s="77">
        <f t="shared" si="3"/>
        <v>-18.987201810496661</v>
      </c>
    </row>
    <row r="39" spans="2:11" ht="23.25" customHeight="1" thickBot="1" x14ac:dyDescent="0.3">
      <c r="C39" s="78" t="s">
        <v>44</v>
      </c>
      <c r="D39" s="79">
        <f t="shared" ref="D39:I39" si="4">SUM(D34,D38)</f>
        <v>36.149950212256812</v>
      </c>
      <c r="E39" s="80">
        <f t="shared" si="4"/>
        <v>60.27992485773752</v>
      </c>
      <c r="F39" s="79">
        <f t="shared" si="4"/>
        <v>-24.129974645480701</v>
      </c>
      <c r="G39" s="80">
        <f t="shared" si="4"/>
        <v>-1.671630666160542</v>
      </c>
      <c r="H39" s="80">
        <f t="shared" si="4"/>
        <v>0</v>
      </c>
      <c r="I39" s="81">
        <f t="shared" si="4"/>
        <v>-25.801605311641239</v>
      </c>
      <c r="K39" s="82"/>
    </row>
    <row r="40" spans="2:11" x14ac:dyDescent="0.25">
      <c r="E40" s="50"/>
      <c r="F40" s="50"/>
      <c r="G40" s="50"/>
      <c r="H40" s="50"/>
    </row>
    <row r="41" spans="2:11" x14ac:dyDescent="0.25">
      <c r="C41" s="3"/>
      <c r="D41" s="82"/>
      <c r="E41" s="82"/>
      <c r="F41" s="82"/>
      <c r="G41" s="82"/>
      <c r="H41" s="82"/>
      <c r="I41" s="82"/>
    </row>
    <row r="42" spans="2:11" x14ac:dyDescent="0.25">
      <c r="C42" s="3"/>
    </row>
    <row r="43" spans="2:11" x14ac:dyDescent="0.25">
      <c r="C43" s="3"/>
      <c r="D43" s="82"/>
      <c r="E43" s="82"/>
      <c r="F43" s="82"/>
      <c r="G43" s="82"/>
      <c r="H43" s="82"/>
      <c r="I43" s="82"/>
    </row>
    <row r="44" spans="2:11" x14ac:dyDescent="0.25">
      <c r="D44" s="82"/>
      <c r="E44" s="82"/>
      <c r="F44" s="82"/>
      <c r="G44" s="82"/>
      <c r="H44" s="82"/>
      <c r="I44" s="8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G104" activePane="bottomRight" state="frozen"/>
      <selection pane="topRight" activeCell="C1" sqref="C1"/>
      <selection pane="bottomLeft" activeCell="A5" sqref="A5"/>
      <selection pane="bottomRight" activeCell="J111" sqref="J111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81640625" style="1" bestFit="1" customWidth="1"/>
    <col min="15" max="15" width="10.36328125" style="1" bestFit="1" customWidth="1"/>
    <col min="16" max="16384" width="8.7265625" style="1"/>
  </cols>
  <sheetData>
    <row r="3" spans="1:15" x14ac:dyDescent="0.25">
      <c r="A3" s="84"/>
      <c r="B3" s="85"/>
      <c r="C3" s="86" t="s">
        <v>54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7"/>
    </row>
    <row r="4" spans="1:15" x14ac:dyDescent="0.25">
      <c r="A4" s="86" t="s">
        <v>0</v>
      </c>
      <c r="B4" s="86" t="s">
        <v>24</v>
      </c>
      <c r="C4" s="88">
        <v>44927</v>
      </c>
      <c r="D4" s="89">
        <v>44958</v>
      </c>
      <c r="E4" s="89">
        <v>44986</v>
      </c>
      <c r="F4" s="89">
        <v>45017</v>
      </c>
      <c r="G4" s="89">
        <v>45047</v>
      </c>
      <c r="H4" s="89">
        <v>45078</v>
      </c>
      <c r="I4" s="89">
        <v>45108</v>
      </c>
      <c r="J4" s="89">
        <v>45139</v>
      </c>
      <c r="K4" s="89">
        <v>45170</v>
      </c>
      <c r="L4" s="89">
        <v>45200</v>
      </c>
      <c r="M4" s="89">
        <v>45231</v>
      </c>
      <c r="N4" s="89">
        <v>45261</v>
      </c>
      <c r="O4" s="90" t="s">
        <v>18</v>
      </c>
    </row>
    <row r="5" spans="1:15" x14ac:dyDescent="0.25">
      <c r="A5" s="84" t="s">
        <v>14</v>
      </c>
      <c r="B5" s="84" t="s">
        <v>71</v>
      </c>
      <c r="C5" s="91">
        <v>0.29294132568408698</v>
      </c>
      <c r="D5" s="92">
        <v>0.27808198307692317</v>
      </c>
      <c r="E5" s="92">
        <v>0.24836329786259548</v>
      </c>
      <c r="F5" s="92">
        <v>0.18361901935995306</v>
      </c>
      <c r="G5" s="92">
        <v>0.25473158755137998</v>
      </c>
      <c r="H5" s="92">
        <v>0.3449490248091604</v>
      </c>
      <c r="I5" s="92">
        <v>0.3269055373576043</v>
      </c>
      <c r="J5" s="92">
        <v>0.37254494679389322</v>
      </c>
      <c r="K5" s="92">
        <v>0.32018345379722069</v>
      </c>
      <c r="L5" s="92">
        <v>0.24553294688980237</v>
      </c>
      <c r="M5" s="92">
        <v>0.26039228949696619</v>
      </c>
      <c r="N5" s="92">
        <v>0.25225503045018599</v>
      </c>
      <c r="O5" s="93">
        <v>3.380500443129772</v>
      </c>
    </row>
    <row r="6" spans="1:15" ht="13" x14ac:dyDescent="0.3">
      <c r="A6" s="217"/>
      <c r="B6" s="94" t="s">
        <v>25</v>
      </c>
      <c r="C6" s="231">
        <v>-0.19553738580181662</v>
      </c>
      <c r="D6" s="232">
        <v>-0.1856188227538984</v>
      </c>
      <c r="E6" s="232">
        <v>-0.16578169665806197</v>
      </c>
      <c r="F6" s="232">
        <v>-0.12256510052070391</v>
      </c>
      <c r="G6" s="232">
        <v>-0.17003250939288406</v>
      </c>
      <c r="H6" s="232">
        <v>-0.23025235646953052</v>
      </c>
      <c r="I6" s="232">
        <v>-0.2182083870542012</v>
      </c>
      <c r="J6" s="232">
        <v>-0.24867254498709296</v>
      </c>
      <c r="K6" s="232">
        <v>-0.21372141805633338</v>
      </c>
      <c r="L6" s="232">
        <v>-0.16389244655369656</v>
      </c>
      <c r="M6" s="232">
        <v>-0.17381100960161483</v>
      </c>
      <c r="N6" s="232">
        <v>-0.16837941555156438</v>
      </c>
      <c r="O6" s="233">
        <v>-2.2564730934013992</v>
      </c>
    </row>
    <row r="7" spans="1:15" ht="13" x14ac:dyDescent="0.3">
      <c r="A7" s="217"/>
      <c r="B7" s="94" t="s">
        <v>26</v>
      </c>
      <c r="C7" s="231">
        <v>-1.3546068542943971E-2</v>
      </c>
      <c r="D7" s="232">
        <v>-1.2858949124098986E-2</v>
      </c>
      <c r="E7" s="232">
        <v>-1.1484710286409018E-2</v>
      </c>
      <c r="F7" s="232">
        <v>-8.4908328185844453E-3</v>
      </c>
      <c r="G7" s="232">
        <v>-1.1779190037342582E-2</v>
      </c>
      <c r="H7" s="232">
        <v>-1.5950986508901414E-2</v>
      </c>
      <c r="I7" s="232">
        <v>-1.5116627214589647E-2</v>
      </c>
      <c r="J7" s="232">
        <v>-1.7227065429613529E-2</v>
      </c>
      <c r="K7" s="232">
        <v>-1.4805787477493107E-2</v>
      </c>
      <c r="L7" s="232">
        <v>-1.1353830397105212E-2</v>
      </c>
      <c r="M7" s="232">
        <v>-1.2040949815950195E-2</v>
      </c>
      <c r="N7" s="232">
        <v>-1.1664670134201752E-2</v>
      </c>
      <c r="O7" s="233">
        <v>-0.15631966778723383</v>
      </c>
    </row>
    <row r="8" spans="1:15" ht="13" x14ac:dyDescent="0.3">
      <c r="A8" s="217"/>
      <c r="B8" s="94" t="s">
        <v>27</v>
      </c>
      <c r="C8" s="231">
        <v>-0.20908345434476058</v>
      </c>
      <c r="D8" s="232">
        <v>-0.19847777187799739</v>
      </c>
      <c r="E8" s="232">
        <v>-0.17726640694447099</v>
      </c>
      <c r="F8" s="232">
        <v>-0.13105593333928836</v>
      </c>
      <c r="G8" s="232">
        <v>-0.18181169943022663</v>
      </c>
      <c r="H8" s="232">
        <v>-0.24620334297843194</v>
      </c>
      <c r="I8" s="232">
        <v>-0.23332501426879085</v>
      </c>
      <c r="J8" s="232">
        <v>-0.26589961041670651</v>
      </c>
      <c r="K8" s="232">
        <v>-0.22852720553382649</v>
      </c>
      <c r="L8" s="232">
        <v>-0.17524627695080178</v>
      </c>
      <c r="M8" s="232">
        <v>-0.18585195941756502</v>
      </c>
      <c r="N8" s="232">
        <v>-0.18004408568576613</v>
      </c>
      <c r="O8" s="233">
        <v>-2.4127927611886326</v>
      </c>
    </row>
    <row r="9" spans="1:15" x14ac:dyDescent="0.25">
      <c r="A9" s="217"/>
      <c r="B9" s="94" t="s">
        <v>50</v>
      </c>
      <c r="C9" s="95">
        <v>0.48847871148590361</v>
      </c>
      <c r="D9" s="83">
        <v>0.46370080583082157</v>
      </c>
      <c r="E9" s="83">
        <v>0.41414499452065745</v>
      </c>
      <c r="F9" s="83">
        <v>0.30618411988065697</v>
      </c>
      <c r="G9" s="83">
        <v>0.42476409694426404</v>
      </c>
      <c r="H9" s="83">
        <v>0.57520138127869092</v>
      </c>
      <c r="I9" s="83">
        <v>0.54511392441180551</v>
      </c>
      <c r="J9" s="83">
        <v>0.62121749178098618</v>
      </c>
      <c r="K9" s="83">
        <v>0.53390487185355406</v>
      </c>
      <c r="L9" s="83">
        <v>0.40942539344349893</v>
      </c>
      <c r="M9" s="83">
        <v>0.43420329909858102</v>
      </c>
      <c r="N9" s="83">
        <v>0.42063444600175037</v>
      </c>
      <c r="O9" s="96">
        <v>5.6369735365311708</v>
      </c>
    </row>
    <row r="10" spans="1:15" x14ac:dyDescent="0.25">
      <c r="A10" s="217"/>
      <c r="B10" s="94" t="s">
        <v>89</v>
      </c>
      <c r="C10" s="95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96">
        <v>0</v>
      </c>
    </row>
    <row r="11" spans="1:15" x14ac:dyDescent="0.25">
      <c r="A11" s="217"/>
      <c r="B11" s="94" t="s">
        <v>91</v>
      </c>
      <c r="C11" s="95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96">
        <v>0</v>
      </c>
    </row>
    <row r="12" spans="1:15" x14ac:dyDescent="0.25">
      <c r="A12" s="84" t="s">
        <v>17</v>
      </c>
      <c r="B12" s="84" t="s">
        <v>71</v>
      </c>
      <c r="C12" s="91">
        <v>3.6794562646310446E-2</v>
      </c>
      <c r="D12" s="92">
        <v>3.785594426110786E-2</v>
      </c>
      <c r="E12" s="92">
        <v>3.64407687747113E-2</v>
      </c>
      <c r="F12" s="92">
        <v>3.467179941671561E-2</v>
      </c>
      <c r="G12" s="92">
        <v>3.7148356517909584E-2</v>
      </c>
      <c r="H12" s="92">
        <v>4.0686295233900972E-2</v>
      </c>
      <c r="I12" s="92">
        <v>3.8917325875905275E-2</v>
      </c>
      <c r="J12" s="92">
        <v>3.8563532004306136E-2</v>
      </c>
      <c r="K12" s="92">
        <v>3.9624913619103551E-2</v>
      </c>
      <c r="L12" s="92">
        <v>3.785594426110786E-2</v>
      </c>
      <c r="M12" s="92">
        <v>3.6794562646310446E-2</v>
      </c>
      <c r="N12" s="92">
        <v>3.5733181031513024E-2</v>
      </c>
      <c r="O12" s="93">
        <v>0.45108718628890199</v>
      </c>
    </row>
    <row r="13" spans="1:15" ht="13" x14ac:dyDescent="0.3">
      <c r="A13" s="217"/>
      <c r="B13" s="94" t="s">
        <v>25</v>
      </c>
      <c r="C13" s="231">
        <v>-2.4560251356749913E-2</v>
      </c>
      <c r="D13" s="232">
        <v>-2.5268720145886936E-2</v>
      </c>
      <c r="E13" s="232">
        <v>-2.432409509370425E-2</v>
      </c>
      <c r="F13" s="232">
        <v>-2.314331377847588E-2</v>
      </c>
      <c r="G13" s="232">
        <v>-2.4796407619795589E-2</v>
      </c>
      <c r="H13" s="232">
        <v>-2.7157970250252315E-2</v>
      </c>
      <c r="I13" s="232">
        <v>-2.5977188935023952E-2</v>
      </c>
      <c r="J13" s="232">
        <v>-2.5741032671978276E-2</v>
      </c>
      <c r="K13" s="232">
        <v>-2.6449501461115292E-2</v>
      </c>
      <c r="L13" s="232">
        <v>-2.5268720145886936E-2</v>
      </c>
      <c r="M13" s="232">
        <v>-2.4560251356749913E-2</v>
      </c>
      <c r="N13" s="232">
        <v>-2.3851782567612903E-2</v>
      </c>
      <c r="O13" s="233">
        <v>-0.30109923538323213</v>
      </c>
    </row>
    <row r="14" spans="1:15" ht="13" x14ac:dyDescent="0.3">
      <c r="A14" s="217"/>
      <c r="B14" s="94" t="s">
        <v>26</v>
      </c>
      <c r="C14" s="231">
        <v>-1.7014385609494839E-3</v>
      </c>
      <c r="D14" s="232">
        <v>-1.7505185194384115E-3</v>
      </c>
      <c r="E14" s="232">
        <v>-1.6850785747865083E-3</v>
      </c>
      <c r="F14" s="232">
        <v>-1.6032786439716291E-3</v>
      </c>
      <c r="G14" s="232">
        <v>-1.7177985471124599E-3</v>
      </c>
      <c r="H14" s="232">
        <v>-1.8813984087422179E-3</v>
      </c>
      <c r="I14" s="232">
        <v>-1.7995984779273391E-3</v>
      </c>
      <c r="J14" s="232">
        <v>-1.7832384917643631E-3</v>
      </c>
      <c r="K14" s="232">
        <v>-1.8323184502532907E-3</v>
      </c>
      <c r="L14" s="232">
        <v>-1.7505185194384115E-3</v>
      </c>
      <c r="M14" s="232">
        <v>-1.7014385609494839E-3</v>
      </c>
      <c r="N14" s="232">
        <v>-1.6523586024605567E-3</v>
      </c>
      <c r="O14" s="233">
        <v>-2.0858982357794157E-2</v>
      </c>
    </row>
    <row r="15" spans="1:15" ht="13" x14ac:dyDescent="0.3">
      <c r="A15" s="217"/>
      <c r="B15" s="94" t="s">
        <v>27</v>
      </c>
      <c r="C15" s="231">
        <v>-2.6261689917699397E-2</v>
      </c>
      <c r="D15" s="232">
        <v>-2.7019238665325348E-2</v>
      </c>
      <c r="E15" s="232">
        <v>-2.6009173668490759E-2</v>
      </c>
      <c r="F15" s="232">
        <v>-2.4746592422447509E-2</v>
      </c>
      <c r="G15" s="232">
        <v>-2.6514206166908048E-2</v>
      </c>
      <c r="H15" s="232">
        <v>-2.9039368658994532E-2</v>
      </c>
      <c r="I15" s="232">
        <v>-2.7776787412951292E-2</v>
      </c>
      <c r="J15" s="232">
        <v>-2.752427116374264E-2</v>
      </c>
      <c r="K15" s="232">
        <v>-2.8281819911368584E-2</v>
      </c>
      <c r="L15" s="232">
        <v>-2.7019238665325348E-2</v>
      </c>
      <c r="M15" s="232">
        <v>-2.6261689917699397E-2</v>
      </c>
      <c r="N15" s="232">
        <v>-2.550414117007346E-2</v>
      </c>
      <c r="O15" s="233">
        <v>-0.32195821774102629</v>
      </c>
    </row>
    <row r="16" spans="1:15" x14ac:dyDescent="0.25">
      <c r="A16" s="217"/>
      <c r="B16" s="94" t="s">
        <v>50</v>
      </c>
      <c r="C16" s="95">
        <v>6.1354814003060358E-2</v>
      </c>
      <c r="D16" s="83">
        <v>6.3124664406994796E-2</v>
      </c>
      <c r="E16" s="83">
        <v>6.076486386841555E-2</v>
      </c>
      <c r="F16" s="83">
        <v>5.7815113195191489E-2</v>
      </c>
      <c r="G16" s="83">
        <v>6.1944764137705173E-2</v>
      </c>
      <c r="H16" s="83">
        <v>6.7844265484153288E-2</v>
      </c>
      <c r="I16" s="83">
        <v>6.4894514810929227E-2</v>
      </c>
      <c r="J16" s="83">
        <v>6.4304564676284412E-2</v>
      </c>
      <c r="K16" s="83">
        <v>6.6074415080218843E-2</v>
      </c>
      <c r="L16" s="83">
        <v>6.3124664406994796E-2</v>
      </c>
      <c r="M16" s="83">
        <v>6.1354814003060358E-2</v>
      </c>
      <c r="N16" s="83">
        <v>5.9584963599125927E-2</v>
      </c>
      <c r="O16" s="96">
        <v>0.75218642167213412</v>
      </c>
    </row>
    <row r="17" spans="1:15" x14ac:dyDescent="0.25">
      <c r="A17" s="217"/>
      <c r="B17" s="94" t="s">
        <v>89</v>
      </c>
      <c r="C17" s="95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96">
        <v>0</v>
      </c>
    </row>
    <row r="18" spans="1:15" x14ac:dyDescent="0.25">
      <c r="A18" s="217"/>
      <c r="B18" s="94" t="s">
        <v>91</v>
      </c>
      <c r="C18" s="95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96">
        <v>0</v>
      </c>
    </row>
    <row r="19" spans="1:15" x14ac:dyDescent="0.25">
      <c r="A19" s="84" t="s">
        <v>13</v>
      </c>
      <c r="B19" s="84" t="s">
        <v>71</v>
      </c>
      <c r="C19" s="91">
        <v>0.34211867383636729</v>
      </c>
      <c r="D19" s="92">
        <v>0.33787314737717761</v>
      </c>
      <c r="E19" s="92">
        <v>0.30850825603444909</v>
      </c>
      <c r="F19" s="92">
        <v>0.21298391070268161</v>
      </c>
      <c r="G19" s="92">
        <v>0.25154744270698776</v>
      </c>
      <c r="H19" s="92">
        <v>0.33115106381679399</v>
      </c>
      <c r="I19" s="92">
        <v>0.32973588833039741</v>
      </c>
      <c r="J19" s="92">
        <v>0.36263871838911732</v>
      </c>
      <c r="K19" s="92">
        <v>0.3304434760735957</v>
      </c>
      <c r="L19" s="92">
        <v>0.24765571011939722</v>
      </c>
      <c r="M19" s="92">
        <v>0.30673928667645339</v>
      </c>
      <c r="N19" s="92">
        <v>0.3240751863848112</v>
      </c>
      <c r="O19" s="93">
        <v>3.6854707604482293</v>
      </c>
    </row>
    <row r="20" spans="1:15" ht="13" x14ac:dyDescent="0.3">
      <c r="A20" s="217"/>
      <c r="B20" s="94" t="s">
        <v>25</v>
      </c>
      <c r="C20" s="231">
        <v>-0.2283631063651651</v>
      </c>
      <c r="D20" s="232">
        <v>-0.22552923120861706</v>
      </c>
      <c r="E20" s="232">
        <v>-0.2059282613758262</v>
      </c>
      <c r="F20" s="232">
        <v>-0.14216607035349468</v>
      </c>
      <c r="G20" s="232">
        <v>-0.16790710302547296</v>
      </c>
      <c r="H20" s="232">
        <v>-0.22104226221074924</v>
      </c>
      <c r="I20" s="232">
        <v>-0.22009763715856662</v>
      </c>
      <c r="J20" s="232">
        <v>-0.24206016962181409</v>
      </c>
      <c r="K20" s="232">
        <v>-0.22056994968465793</v>
      </c>
      <c r="L20" s="232">
        <v>-0.16530938413197058</v>
      </c>
      <c r="M20" s="232">
        <v>-0.2047474800605979</v>
      </c>
      <c r="N20" s="232">
        <v>-0.21631913694983579</v>
      </c>
      <c r="O20" s="233">
        <v>-2.4600397921467678</v>
      </c>
    </row>
    <row r="21" spans="1:15" ht="13" x14ac:dyDescent="0.3">
      <c r="A21" s="217"/>
      <c r="B21" s="94" t="s">
        <v>26</v>
      </c>
      <c r="C21" s="231">
        <v>-1.5820106619597606E-2</v>
      </c>
      <c r="D21" s="232">
        <v>-1.5623786785641899E-2</v>
      </c>
      <c r="E21" s="232">
        <v>-1.4265907934114905E-2</v>
      </c>
      <c r="F21" s="232">
        <v>-9.8487116701114364E-3</v>
      </c>
      <c r="G21" s="232">
        <v>-1.1631950161875799E-2</v>
      </c>
      <c r="H21" s="232">
        <v>-1.5312947048545359E-2</v>
      </c>
      <c r="I21" s="232">
        <v>-1.5247507103893455E-2</v>
      </c>
      <c r="J21" s="232">
        <v>-1.6768985817050205E-2</v>
      </c>
      <c r="K21" s="232">
        <v>-1.5280227076219406E-2</v>
      </c>
      <c r="L21" s="232">
        <v>-1.1451990314083067E-2</v>
      </c>
      <c r="M21" s="232">
        <v>-1.4184108003300028E-2</v>
      </c>
      <c r="N21" s="232">
        <v>-1.4985747325285842E-2</v>
      </c>
      <c r="O21" s="233">
        <v>-0.17042197585971899</v>
      </c>
    </row>
    <row r="22" spans="1:15" ht="13" x14ac:dyDescent="0.3">
      <c r="A22" s="217"/>
      <c r="B22" s="94" t="s">
        <v>27</v>
      </c>
      <c r="C22" s="231">
        <v>-0.2441832129847627</v>
      </c>
      <c r="D22" s="232">
        <v>-0.24115301799425898</v>
      </c>
      <c r="E22" s="232">
        <v>-0.22019416930994112</v>
      </c>
      <c r="F22" s="232">
        <v>-0.15201478202360613</v>
      </c>
      <c r="G22" s="232">
        <v>-0.17953905318734875</v>
      </c>
      <c r="H22" s="232">
        <v>-0.2363552092592946</v>
      </c>
      <c r="I22" s="232">
        <v>-0.23534514426246006</v>
      </c>
      <c r="J22" s="232">
        <v>-0.25882915543886431</v>
      </c>
      <c r="K22" s="232">
        <v>-0.23585017676087733</v>
      </c>
      <c r="L22" s="232">
        <v>-0.17676137444605364</v>
      </c>
      <c r="M22" s="232">
        <v>-0.21893158806389793</v>
      </c>
      <c r="N22" s="232">
        <v>-0.23130488427512164</v>
      </c>
      <c r="O22" s="233">
        <v>-2.6304617680064877</v>
      </c>
    </row>
    <row r="23" spans="1:15" x14ac:dyDescent="0.25">
      <c r="A23" s="217"/>
      <c r="B23" s="94" t="s">
        <v>50</v>
      </c>
      <c r="C23" s="95">
        <v>0.5704817802015324</v>
      </c>
      <c r="D23" s="83">
        <v>0.56340237858579467</v>
      </c>
      <c r="E23" s="83">
        <v>0.5144365174102753</v>
      </c>
      <c r="F23" s="83">
        <v>0.35514998105617629</v>
      </c>
      <c r="G23" s="83">
        <v>0.41945454573246072</v>
      </c>
      <c r="H23" s="83">
        <v>0.55219332602754323</v>
      </c>
      <c r="I23" s="83">
        <v>0.54983352548896403</v>
      </c>
      <c r="J23" s="83">
        <v>0.60469888801093141</v>
      </c>
      <c r="K23" s="83">
        <v>0.55101342575825363</v>
      </c>
      <c r="L23" s="83">
        <v>0.41296509425136779</v>
      </c>
      <c r="M23" s="83">
        <v>0.51148676673705129</v>
      </c>
      <c r="N23" s="83">
        <v>0.54039432333464699</v>
      </c>
      <c r="O23" s="96">
        <v>6.1455105525949971</v>
      </c>
    </row>
    <row r="24" spans="1:15" x14ac:dyDescent="0.25">
      <c r="A24" s="217"/>
      <c r="B24" s="94" t="s">
        <v>89</v>
      </c>
      <c r="C24" s="95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96">
        <v>0</v>
      </c>
    </row>
    <row r="25" spans="1:15" x14ac:dyDescent="0.25">
      <c r="A25" s="217"/>
      <c r="B25" s="94" t="s">
        <v>91</v>
      </c>
      <c r="C25" s="95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96">
        <v>0</v>
      </c>
    </row>
    <row r="26" spans="1:15" x14ac:dyDescent="0.25">
      <c r="A26" s="84" t="s">
        <v>15</v>
      </c>
      <c r="B26" s="84" t="s">
        <v>71</v>
      </c>
      <c r="C26" s="91">
        <v>2.1227632295948333E-3</v>
      </c>
      <c r="D26" s="92">
        <v>1.7689693579956943E-3</v>
      </c>
      <c r="E26" s="92">
        <v>1.7689693579956943E-3</v>
      </c>
      <c r="F26" s="92">
        <v>2.4765571011939719E-3</v>
      </c>
      <c r="G26" s="92">
        <v>1.4151754863965555E-3</v>
      </c>
      <c r="H26" s="92">
        <v>4.9531142023879439E-3</v>
      </c>
      <c r="I26" s="92">
        <v>4.5993203307888057E-3</v>
      </c>
      <c r="J26" s="92">
        <v>6.7220835603836382E-3</v>
      </c>
      <c r="K26" s="92">
        <v>6.3682896887845E-3</v>
      </c>
      <c r="L26" s="92">
        <v>2.1227632295948333E-3</v>
      </c>
      <c r="M26" s="92">
        <v>2.1227632295948333E-3</v>
      </c>
      <c r="N26" s="92">
        <v>1.7689693579956943E-3</v>
      </c>
      <c r="O26" s="93">
        <v>3.8209738132707005E-2</v>
      </c>
    </row>
    <row r="27" spans="1:15" ht="13" x14ac:dyDescent="0.3">
      <c r="A27" s="217"/>
      <c r="B27" s="94" t="s">
        <v>25</v>
      </c>
      <c r="C27" s="231">
        <v>-1.4169375782740338E-3</v>
      </c>
      <c r="D27" s="232">
        <v>-1.1807813152283613E-3</v>
      </c>
      <c r="E27" s="232">
        <v>-1.1807813152283613E-3</v>
      </c>
      <c r="F27" s="232">
        <v>-1.6530938413197058E-3</v>
      </c>
      <c r="G27" s="232">
        <v>-9.4462505218268909E-4</v>
      </c>
      <c r="H27" s="232">
        <v>-3.3061876826394115E-3</v>
      </c>
      <c r="I27" s="232">
        <v>-3.0700314195937391E-3</v>
      </c>
      <c r="J27" s="232">
        <v>-4.4869689978677728E-3</v>
      </c>
      <c r="K27" s="232">
        <v>-4.2508127348221013E-3</v>
      </c>
      <c r="L27" s="232">
        <v>-1.4169375782740338E-3</v>
      </c>
      <c r="M27" s="232">
        <v>-1.4169375782740338E-3</v>
      </c>
      <c r="N27" s="232">
        <v>-1.1807813152283613E-3</v>
      </c>
      <c r="O27" s="233">
        <v>-2.5504876408932606E-2</v>
      </c>
    </row>
    <row r="28" spans="1:15" ht="13" x14ac:dyDescent="0.3">
      <c r="A28" s="217"/>
      <c r="B28" s="94" t="s">
        <v>26</v>
      </c>
      <c r="C28" s="231">
        <v>-9.8159916977854847E-5</v>
      </c>
      <c r="D28" s="232">
        <v>-8.1799930814879053E-5</v>
      </c>
      <c r="E28" s="232">
        <v>-8.1799930814879053E-5</v>
      </c>
      <c r="F28" s="232">
        <v>-1.1451990314083067E-4</v>
      </c>
      <c r="G28" s="232">
        <v>-6.5439944651903231E-5</v>
      </c>
      <c r="H28" s="232">
        <v>-2.2903980628166134E-4</v>
      </c>
      <c r="I28" s="232">
        <v>-2.1267982011868549E-4</v>
      </c>
      <c r="J28" s="232">
        <v>-3.1083973709654042E-4</v>
      </c>
      <c r="K28" s="232">
        <v>-2.9447975093356457E-4</v>
      </c>
      <c r="L28" s="232">
        <v>-9.8159916977854847E-5</v>
      </c>
      <c r="M28" s="232">
        <v>-9.8159916977854847E-5</v>
      </c>
      <c r="N28" s="232">
        <v>-8.1799930814879053E-5</v>
      </c>
      <c r="O28" s="233">
        <v>-1.7668785056013871E-3</v>
      </c>
    </row>
    <row r="29" spans="1:15" ht="13" x14ac:dyDescent="0.3">
      <c r="A29" s="217"/>
      <c r="B29" s="94" t="s">
        <v>27</v>
      </c>
      <c r="C29" s="231">
        <v>-1.5150974952518885E-3</v>
      </c>
      <c r="D29" s="232">
        <v>-1.2625812460432403E-3</v>
      </c>
      <c r="E29" s="232">
        <v>-1.2625812460432403E-3</v>
      </c>
      <c r="F29" s="232">
        <v>-1.7676137444605365E-3</v>
      </c>
      <c r="G29" s="232">
        <v>-1.0100649968345923E-3</v>
      </c>
      <c r="H29" s="232">
        <v>-3.5352274889210731E-3</v>
      </c>
      <c r="I29" s="232">
        <v>-3.2827112397124246E-3</v>
      </c>
      <c r="J29" s="232">
        <v>-4.7978087349643131E-3</v>
      </c>
      <c r="K29" s="232">
        <v>-4.545292485755666E-3</v>
      </c>
      <c r="L29" s="232">
        <v>-1.5150974952518885E-3</v>
      </c>
      <c r="M29" s="232">
        <v>-1.5150974952518885E-3</v>
      </c>
      <c r="N29" s="232">
        <v>-1.2625812460432403E-3</v>
      </c>
      <c r="O29" s="233">
        <v>-2.7271754914533992E-2</v>
      </c>
    </row>
    <row r="30" spans="1:15" x14ac:dyDescent="0.25">
      <c r="A30" s="217"/>
      <c r="B30" s="94" t="s">
        <v>50</v>
      </c>
      <c r="C30" s="95">
        <v>3.5397008078688671E-3</v>
      </c>
      <c r="D30" s="83">
        <v>2.9497506732240556E-3</v>
      </c>
      <c r="E30" s="83">
        <v>2.9497506732240556E-3</v>
      </c>
      <c r="F30" s="83">
        <v>4.1296509425136777E-3</v>
      </c>
      <c r="G30" s="83">
        <v>2.3598005385792446E-3</v>
      </c>
      <c r="H30" s="83">
        <v>8.2593018850273554E-3</v>
      </c>
      <c r="I30" s="83">
        <v>7.6693517503825448E-3</v>
      </c>
      <c r="J30" s="83">
        <v>1.1209052558251411E-2</v>
      </c>
      <c r="K30" s="83">
        <v>1.0619102423606601E-2</v>
      </c>
      <c r="L30" s="83">
        <v>3.5397008078688671E-3</v>
      </c>
      <c r="M30" s="83">
        <v>3.5397008078688671E-3</v>
      </c>
      <c r="N30" s="83">
        <v>2.9497506732240556E-3</v>
      </c>
      <c r="O30" s="96">
        <v>6.3714614541639611E-2</v>
      </c>
    </row>
    <row r="31" spans="1:15" x14ac:dyDescent="0.25">
      <c r="A31" s="217"/>
      <c r="B31" s="94" t="s">
        <v>89</v>
      </c>
      <c r="C31" s="95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96">
        <v>0</v>
      </c>
    </row>
    <row r="32" spans="1:15" x14ac:dyDescent="0.25">
      <c r="A32" s="217"/>
      <c r="B32" s="94" t="s">
        <v>91</v>
      </c>
      <c r="C32" s="95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96">
        <v>0</v>
      </c>
    </row>
    <row r="33" spans="1:15" x14ac:dyDescent="0.25">
      <c r="A33" s="84" t="s">
        <v>16</v>
      </c>
      <c r="B33" s="84" t="s">
        <v>71</v>
      </c>
      <c r="C33" s="91">
        <v>1.4151754863965555E-3</v>
      </c>
      <c r="D33" s="92">
        <v>1.7689693579956943E-3</v>
      </c>
      <c r="E33" s="92">
        <v>3.5379387159913887E-4</v>
      </c>
      <c r="F33" s="92">
        <v>2.4765571011939719E-3</v>
      </c>
      <c r="G33" s="92">
        <v>1.0613816147974167E-3</v>
      </c>
      <c r="H33" s="92">
        <v>2.4765571011939719E-3</v>
      </c>
      <c r="I33" s="92">
        <v>1.7689693579956943E-3</v>
      </c>
      <c r="J33" s="92">
        <v>1.7689693579956943E-3</v>
      </c>
      <c r="K33" s="92">
        <v>2.1227632295948333E-3</v>
      </c>
      <c r="L33" s="92">
        <v>1.7689693579956943E-3</v>
      </c>
      <c r="M33" s="92">
        <v>1.4151754863965555E-3</v>
      </c>
      <c r="N33" s="92">
        <v>1.4151754863965555E-3</v>
      </c>
      <c r="O33" s="93">
        <v>1.9812456809551779E-2</v>
      </c>
    </row>
    <row r="34" spans="1:15" ht="13" x14ac:dyDescent="0.3">
      <c r="A34" s="217"/>
      <c r="B34" s="94" t="s">
        <v>25</v>
      </c>
      <c r="C34" s="231">
        <v>-9.4462505218268909E-4</v>
      </c>
      <c r="D34" s="232">
        <v>-1.1807813152283613E-3</v>
      </c>
      <c r="E34" s="232">
        <v>-2.3615626304567227E-4</v>
      </c>
      <c r="F34" s="232">
        <v>-1.6530938413197058E-3</v>
      </c>
      <c r="G34" s="232">
        <v>-7.0846878913701688E-4</v>
      </c>
      <c r="H34" s="232">
        <v>-1.6530938413197058E-3</v>
      </c>
      <c r="I34" s="232">
        <v>-1.1807813152283613E-3</v>
      </c>
      <c r="J34" s="232">
        <v>-1.1807813152283613E-3</v>
      </c>
      <c r="K34" s="232">
        <v>-1.4169375782740338E-3</v>
      </c>
      <c r="L34" s="232">
        <v>-1.1807813152283613E-3</v>
      </c>
      <c r="M34" s="232">
        <v>-9.4462505218268909E-4</v>
      </c>
      <c r="N34" s="232">
        <v>-9.4462505218268909E-4</v>
      </c>
      <c r="O34" s="233">
        <v>-1.3224750730557648E-2</v>
      </c>
    </row>
    <row r="35" spans="1:15" ht="13" x14ac:dyDescent="0.3">
      <c r="A35" s="217"/>
      <c r="B35" s="94" t="s">
        <v>26</v>
      </c>
      <c r="C35" s="231">
        <v>-6.5439944651903231E-5</v>
      </c>
      <c r="D35" s="232">
        <v>-8.1799930814879053E-5</v>
      </c>
      <c r="E35" s="232">
        <v>-1.6359986162975808E-5</v>
      </c>
      <c r="F35" s="232">
        <v>-1.1451990314083067E-4</v>
      </c>
      <c r="G35" s="232">
        <v>-4.9079958488927424E-5</v>
      </c>
      <c r="H35" s="232">
        <v>-1.1451990314083067E-4</v>
      </c>
      <c r="I35" s="232">
        <v>-8.1799930814879053E-5</v>
      </c>
      <c r="J35" s="232">
        <v>-8.1799930814879053E-5</v>
      </c>
      <c r="K35" s="232">
        <v>-9.8159916977854847E-5</v>
      </c>
      <c r="L35" s="232">
        <v>-8.1799930814879053E-5</v>
      </c>
      <c r="M35" s="232">
        <v>-6.5439944651903231E-5</v>
      </c>
      <c r="N35" s="232">
        <v>-6.5439944651903231E-5</v>
      </c>
      <c r="O35" s="233">
        <v>-9.1615922512664535E-4</v>
      </c>
    </row>
    <row r="36" spans="1:15" ht="13" x14ac:dyDescent="0.3">
      <c r="A36" s="217"/>
      <c r="B36" s="94" t="s">
        <v>27</v>
      </c>
      <c r="C36" s="231">
        <v>-1.0100649968345923E-3</v>
      </c>
      <c r="D36" s="232">
        <v>-1.2625812460432403E-3</v>
      </c>
      <c r="E36" s="232">
        <v>-2.5251624920864807E-4</v>
      </c>
      <c r="F36" s="232">
        <v>-1.7676137444605365E-3</v>
      </c>
      <c r="G36" s="232">
        <v>-7.5754874762594426E-4</v>
      </c>
      <c r="H36" s="232">
        <v>-1.7676137444605365E-3</v>
      </c>
      <c r="I36" s="232">
        <v>-1.2625812460432403E-3</v>
      </c>
      <c r="J36" s="232">
        <v>-1.2625812460432403E-3</v>
      </c>
      <c r="K36" s="232">
        <v>-1.5150974952518885E-3</v>
      </c>
      <c r="L36" s="232">
        <v>-1.2625812460432403E-3</v>
      </c>
      <c r="M36" s="232">
        <v>-1.0100649968345923E-3</v>
      </c>
      <c r="N36" s="232">
        <v>-1.0100649968345923E-3</v>
      </c>
      <c r="O36" s="233">
        <v>-1.4140909955684291E-2</v>
      </c>
    </row>
    <row r="37" spans="1:15" x14ac:dyDescent="0.25">
      <c r="A37" s="217"/>
      <c r="B37" s="94" t="s">
        <v>50</v>
      </c>
      <c r="C37" s="95">
        <v>2.3598005385792446E-3</v>
      </c>
      <c r="D37" s="83">
        <v>2.9497506732240556E-3</v>
      </c>
      <c r="E37" s="83">
        <v>5.8995013464481114E-4</v>
      </c>
      <c r="F37" s="83">
        <v>4.1296509425136777E-3</v>
      </c>
      <c r="G37" s="83">
        <v>1.7698504039344335E-3</v>
      </c>
      <c r="H37" s="83">
        <v>4.1296509425136777E-3</v>
      </c>
      <c r="I37" s="83">
        <v>2.9497506732240556E-3</v>
      </c>
      <c r="J37" s="83">
        <v>2.9497506732240556E-3</v>
      </c>
      <c r="K37" s="83">
        <v>3.5397008078688671E-3</v>
      </c>
      <c r="L37" s="83">
        <v>2.9497506732240556E-3</v>
      </c>
      <c r="M37" s="83">
        <v>2.3598005385792446E-3</v>
      </c>
      <c r="N37" s="83">
        <v>2.3598005385792446E-3</v>
      </c>
      <c r="O37" s="96">
        <v>3.3037207540109421E-2</v>
      </c>
    </row>
    <row r="38" spans="1:15" x14ac:dyDescent="0.25">
      <c r="A38" s="217"/>
      <c r="B38" s="94" t="s">
        <v>89</v>
      </c>
      <c r="C38" s="95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96">
        <v>0</v>
      </c>
    </row>
    <row r="39" spans="1:15" x14ac:dyDescent="0.25">
      <c r="A39" s="217"/>
      <c r="B39" s="94" t="s">
        <v>91</v>
      </c>
      <c r="C39" s="95">
        <v>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96">
        <v>0</v>
      </c>
    </row>
    <row r="40" spans="1:15" x14ac:dyDescent="0.25">
      <c r="A40" s="84" t="s">
        <v>19</v>
      </c>
      <c r="B40" s="84" t="s">
        <v>71</v>
      </c>
      <c r="C40" s="91">
        <v>2.228901391074575E-2</v>
      </c>
      <c r="D40" s="92">
        <v>2.228901391074575E-2</v>
      </c>
      <c r="E40" s="92">
        <v>2.3704189397142306E-2</v>
      </c>
      <c r="F40" s="92">
        <v>2.1935220039146611E-2</v>
      </c>
      <c r="G40" s="92">
        <v>1.8043487451556081E-2</v>
      </c>
      <c r="H40" s="92">
        <v>2.3704189397142306E-2</v>
      </c>
      <c r="I40" s="92">
        <v>2.3350395525543164E-2</v>
      </c>
      <c r="J40" s="92">
        <v>2.158142616754747E-2</v>
      </c>
      <c r="K40" s="92">
        <v>1.9458662937952637E-2</v>
      </c>
      <c r="L40" s="92">
        <v>2.0873838424349193E-2</v>
      </c>
      <c r="M40" s="92">
        <v>2.228901391074575E-2</v>
      </c>
      <c r="N40" s="92">
        <v>2.228901391074575E-2</v>
      </c>
      <c r="O40" s="93">
        <v>0.26180746498336277</v>
      </c>
    </row>
    <row r="41" spans="1:15" ht="13" x14ac:dyDescent="0.3">
      <c r="A41" s="217"/>
      <c r="B41" s="94" t="s">
        <v>25</v>
      </c>
      <c r="C41" s="231">
        <v>-1.4877844571877356E-2</v>
      </c>
      <c r="D41" s="232">
        <v>-1.4877844571877356E-2</v>
      </c>
      <c r="E41" s="232">
        <v>-1.5822469624060038E-2</v>
      </c>
      <c r="F41" s="232">
        <v>-1.4641688308831679E-2</v>
      </c>
      <c r="G41" s="232">
        <v>-1.2043969415329286E-2</v>
      </c>
      <c r="H41" s="232">
        <v>-1.5822469624060038E-2</v>
      </c>
      <c r="I41" s="232">
        <v>-1.5586313361014372E-2</v>
      </c>
      <c r="J41" s="232">
        <v>-1.4405532045786013E-2</v>
      </c>
      <c r="K41" s="232">
        <v>-1.2988594467511976E-2</v>
      </c>
      <c r="L41" s="232">
        <v>-1.3933219519694666E-2</v>
      </c>
      <c r="M41" s="232">
        <v>-1.4877844571877356E-2</v>
      </c>
      <c r="N41" s="232">
        <v>-1.4877844571877356E-2</v>
      </c>
      <c r="O41" s="233">
        <v>-0.17475563465379748</v>
      </c>
    </row>
    <row r="42" spans="1:15" ht="13" x14ac:dyDescent="0.3">
      <c r="A42" s="217"/>
      <c r="B42" s="94" t="s">
        <v>26</v>
      </c>
      <c r="C42" s="231">
        <v>-1.0306791282674759E-3</v>
      </c>
      <c r="D42" s="232">
        <v>-1.0306791282674759E-3</v>
      </c>
      <c r="E42" s="232">
        <v>-1.0961190729193793E-3</v>
      </c>
      <c r="F42" s="232">
        <v>-1.0143191421045001E-3</v>
      </c>
      <c r="G42" s="232">
        <v>-8.3435929431176616E-4</v>
      </c>
      <c r="H42" s="232">
        <v>-1.0961190729193793E-3</v>
      </c>
      <c r="I42" s="232">
        <v>-1.0797590867564035E-3</v>
      </c>
      <c r="J42" s="232">
        <v>-9.9795915594152432E-4</v>
      </c>
      <c r="K42" s="232">
        <v>-8.9979923896366955E-4</v>
      </c>
      <c r="L42" s="232">
        <v>-9.6523918361557273E-4</v>
      </c>
      <c r="M42" s="232">
        <v>-1.0306791282674759E-3</v>
      </c>
      <c r="N42" s="232">
        <v>-1.0306791282674759E-3</v>
      </c>
      <c r="O42" s="233">
        <v>-1.2106389760602099E-2</v>
      </c>
    </row>
    <row r="43" spans="1:15" ht="13" x14ac:dyDescent="0.3">
      <c r="A43" s="217"/>
      <c r="B43" s="94" t="s">
        <v>27</v>
      </c>
      <c r="C43" s="231">
        <v>-1.5908523700144832E-2</v>
      </c>
      <c r="D43" s="232">
        <v>-1.5908523700144832E-2</v>
      </c>
      <c r="E43" s="232">
        <v>-1.6918588696979417E-2</v>
      </c>
      <c r="F43" s="232">
        <v>-1.565600745093618E-2</v>
      </c>
      <c r="G43" s="232">
        <v>-1.2878328709641052E-2</v>
      </c>
      <c r="H43" s="232">
        <v>-1.6918588696979417E-2</v>
      </c>
      <c r="I43" s="232">
        <v>-1.6666072447770776E-2</v>
      </c>
      <c r="J43" s="232">
        <v>-1.5403491201727538E-2</v>
      </c>
      <c r="K43" s="232">
        <v>-1.3888393706475646E-2</v>
      </c>
      <c r="L43" s="232">
        <v>-1.4898458703310238E-2</v>
      </c>
      <c r="M43" s="232">
        <v>-1.5908523700144832E-2</v>
      </c>
      <c r="N43" s="232">
        <v>-1.5908523700144832E-2</v>
      </c>
      <c r="O43" s="233">
        <v>-0.18686202441439961</v>
      </c>
    </row>
    <row r="44" spans="1:15" x14ac:dyDescent="0.25">
      <c r="A44" s="217"/>
      <c r="B44" s="94" t="s">
        <v>50</v>
      </c>
      <c r="C44" s="95">
        <v>3.7166858482623105E-2</v>
      </c>
      <c r="D44" s="83">
        <v>3.7166858482623105E-2</v>
      </c>
      <c r="E44" s="83">
        <v>3.9526659021202344E-2</v>
      </c>
      <c r="F44" s="83">
        <v>3.657690834797829E-2</v>
      </c>
      <c r="G44" s="83">
        <v>3.0087456866885368E-2</v>
      </c>
      <c r="H44" s="83">
        <v>3.9526659021202344E-2</v>
      </c>
      <c r="I44" s="83">
        <v>3.8936708886557536E-2</v>
      </c>
      <c r="J44" s="83">
        <v>3.5986958213333482E-2</v>
      </c>
      <c r="K44" s="83">
        <v>3.2447257405464613E-2</v>
      </c>
      <c r="L44" s="83">
        <v>3.4807057944043859E-2</v>
      </c>
      <c r="M44" s="83">
        <v>3.7166858482623105E-2</v>
      </c>
      <c r="N44" s="83">
        <v>3.7166858482623105E-2</v>
      </c>
      <c r="O44" s="96">
        <v>0.43656309963716022</v>
      </c>
    </row>
    <row r="45" spans="1:15" x14ac:dyDescent="0.25">
      <c r="A45" s="217"/>
      <c r="B45" s="94" t="s">
        <v>89</v>
      </c>
      <c r="C45" s="95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96">
        <v>0</v>
      </c>
    </row>
    <row r="46" spans="1:15" x14ac:dyDescent="0.25">
      <c r="A46" s="217"/>
      <c r="B46" s="94" t="s">
        <v>91</v>
      </c>
      <c r="C46" s="95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96">
        <v>0</v>
      </c>
    </row>
    <row r="47" spans="1:15" x14ac:dyDescent="0.25">
      <c r="A47" s="84" t="s">
        <v>8</v>
      </c>
      <c r="B47" s="84" t="s">
        <v>71</v>
      </c>
      <c r="C47" s="91">
        <v>2.9718685214327665E-2</v>
      </c>
      <c r="D47" s="92">
        <v>2.9364891342728527E-2</v>
      </c>
      <c r="E47" s="92">
        <v>2.6888334241534553E-2</v>
      </c>
      <c r="F47" s="92">
        <v>2.4411777140340582E-2</v>
      </c>
      <c r="G47" s="92">
        <v>3.5025593288314748E-2</v>
      </c>
      <c r="H47" s="92">
        <v>5.2715286868271691E-2</v>
      </c>
      <c r="I47" s="92">
        <v>5.2361492996672553E-2</v>
      </c>
      <c r="J47" s="92">
        <v>5.6607019455862218E-2</v>
      </c>
      <c r="K47" s="92">
        <v>5.4838050097866527E-2</v>
      </c>
      <c r="L47" s="92">
        <v>3.8917325875905275E-2</v>
      </c>
      <c r="M47" s="92">
        <v>2.476557101193972E-2</v>
      </c>
      <c r="N47" s="92">
        <v>2.3350395525543164E-2</v>
      </c>
      <c r="O47" s="93">
        <v>0.44896442305930723</v>
      </c>
    </row>
    <row r="48" spans="1:15" ht="13" x14ac:dyDescent="0.3">
      <c r="A48" s="217"/>
      <c r="B48" s="94" t="s">
        <v>25</v>
      </c>
      <c r="C48" s="231">
        <v>-1.9837126095836471E-2</v>
      </c>
      <c r="D48" s="232">
        <v>-1.9600969832790801E-2</v>
      </c>
      <c r="E48" s="232">
        <v>-1.7947875991471091E-2</v>
      </c>
      <c r="F48" s="232">
        <v>-1.6294782150151385E-2</v>
      </c>
      <c r="G48" s="232">
        <v>-2.3379470041521556E-2</v>
      </c>
      <c r="H48" s="232">
        <v>-3.5187283193805166E-2</v>
      </c>
      <c r="I48" s="232">
        <v>-3.4951126930759503E-2</v>
      </c>
      <c r="J48" s="232">
        <v>-3.7785002087307562E-2</v>
      </c>
      <c r="K48" s="232">
        <v>-3.6604220772079206E-2</v>
      </c>
      <c r="L48" s="232">
        <v>-2.5977188935023952E-2</v>
      </c>
      <c r="M48" s="232">
        <v>-1.6530938413197062E-2</v>
      </c>
      <c r="N48" s="232">
        <v>-1.5586313361014372E-2</v>
      </c>
      <c r="O48" s="233">
        <v>-0.29968229780495814</v>
      </c>
    </row>
    <row r="49" spans="1:15" ht="13" x14ac:dyDescent="0.3">
      <c r="A49" s="217"/>
      <c r="B49" s="94" t="s">
        <v>26</v>
      </c>
      <c r="C49" s="231">
        <v>-1.374238837689968E-3</v>
      </c>
      <c r="D49" s="232">
        <v>-1.3578788515269922E-3</v>
      </c>
      <c r="E49" s="232">
        <v>-1.2433589483861617E-3</v>
      </c>
      <c r="F49" s="232">
        <v>-1.1288390452453309E-3</v>
      </c>
      <c r="G49" s="232">
        <v>-1.6196386301346052E-3</v>
      </c>
      <c r="H49" s="232">
        <v>-2.4376379382833957E-3</v>
      </c>
      <c r="I49" s="232">
        <v>-2.4212779521204197E-3</v>
      </c>
      <c r="J49" s="232">
        <v>-2.6175977860761297E-3</v>
      </c>
      <c r="K49" s="232">
        <v>-2.5357978552612505E-3</v>
      </c>
      <c r="L49" s="232">
        <v>-1.7995984779273391E-3</v>
      </c>
      <c r="M49" s="232">
        <v>-1.1451990314083067E-3</v>
      </c>
      <c r="N49" s="232">
        <v>-1.0797590867564035E-3</v>
      </c>
      <c r="O49" s="233">
        <v>-2.0760822440816305E-2</v>
      </c>
    </row>
    <row r="50" spans="1:15" ht="13" x14ac:dyDescent="0.3">
      <c r="A50" s="217"/>
      <c r="B50" s="94" t="s">
        <v>27</v>
      </c>
      <c r="C50" s="231">
        <v>-2.121136493352644E-2</v>
      </c>
      <c r="D50" s="232">
        <v>-2.0958848684317792E-2</v>
      </c>
      <c r="E50" s="232">
        <v>-1.9191234939857253E-2</v>
      </c>
      <c r="F50" s="232">
        <v>-1.7423621195396716E-2</v>
      </c>
      <c r="G50" s="232">
        <v>-2.499910867165616E-2</v>
      </c>
      <c r="H50" s="232">
        <v>-3.7624921132088561E-2</v>
      </c>
      <c r="I50" s="232">
        <v>-3.737240488287992E-2</v>
      </c>
      <c r="J50" s="232">
        <v>-4.0402599873383689E-2</v>
      </c>
      <c r="K50" s="232">
        <v>-3.9140018627340456E-2</v>
      </c>
      <c r="L50" s="232">
        <v>-2.7776787412951292E-2</v>
      </c>
      <c r="M50" s="232">
        <v>-1.7676137444605368E-2</v>
      </c>
      <c r="N50" s="232">
        <v>-1.6666072447770776E-2</v>
      </c>
      <c r="O50" s="233">
        <v>-0.32044312024577448</v>
      </c>
    </row>
    <row r="51" spans="1:15" x14ac:dyDescent="0.25">
      <c r="A51" s="217"/>
      <c r="B51" s="94" t="s">
        <v>50</v>
      </c>
      <c r="C51" s="95">
        <v>4.9555811310164136E-2</v>
      </c>
      <c r="D51" s="83">
        <v>4.8965861175519328E-2</v>
      </c>
      <c r="E51" s="83">
        <v>4.4836210233005644E-2</v>
      </c>
      <c r="F51" s="83">
        <v>4.0706559290491967E-2</v>
      </c>
      <c r="G51" s="83">
        <v>5.8405063329836304E-2</v>
      </c>
      <c r="H51" s="83">
        <v>8.7902570062076857E-2</v>
      </c>
      <c r="I51" s="83">
        <v>8.7312619927432056E-2</v>
      </c>
      <c r="J51" s="83">
        <v>9.439202154316978E-2</v>
      </c>
      <c r="K51" s="83">
        <v>9.1442270869945733E-2</v>
      </c>
      <c r="L51" s="83">
        <v>6.4894514810929227E-2</v>
      </c>
      <c r="M51" s="83">
        <v>4.1296509425136782E-2</v>
      </c>
      <c r="N51" s="83">
        <v>3.8936708886557536E-2</v>
      </c>
      <c r="O51" s="96">
        <v>0.74864672086426531</v>
      </c>
    </row>
    <row r="52" spans="1:15" x14ac:dyDescent="0.25">
      <c r="A52" s="217"/>
      <c r="B52" s="94" t="s">
        <v>89</v>
      </c>
      <c r="C52" s="95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96">
        <v>0</v>
      </c>
    </row>
    <row r="53" spans="1:15" x14ac:dyDescent="0.25">
      <c r="A53" s="217"/>
      <c r="B53" s="94" t="s">
        <v>91</v>
      </c>
      <c r="C53" s="95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96">
        <v>0</v>
      </c>
    </row>
    <row r="54" spans="1:15" x14ac:dyDescent="0.25">
      <c r="A54" s="84" t="s">
        <v>21</v>
      </c>
      <c r="B54" s="84" t="s">
        <v>71</v>
      </c>
      <c r="C54" s="91">
        <v>0.99416077919358026</v>
      </c>
      <c r="D54" s="92">
        <v>0.98036281820121385</v>
      </c>
      <c r="E54" s="92">
        <v>0.84521355925034281</v>
      </c>
      <c r="F54" s="92">
        <v>0.84627494086514021</v>
      </c>
      <c r="G54" s="92">
        <v>1.1431079991368176</v>
      </c>
      <c r="H54" s="92">
        <v>1.4505548735564693</v>
      </c>
      <c r="I54" s="92">
        <v>1.4109299599373659</v>
      </c>
      <c r="J54" s="92">
        <v>1.5089308623703273</v>
      </c>
      <c r="K54" s="92">
        <v>1.4208361883421416</v>
      </c>
      <c r="L54" s="92">
        <v>1.0985299713153263</v>
      </c>
      <c r="M54" s="92">
        <v>0.88908399932863602</v>
      </c>
      <c r="N54" s="92">
        <v>0.87528603833626961</v>
      </c>
      <c r="O54" s="93">
        <v>13.463271989833631</v>
      </c>
    </row>
    <row r="55" spans="1:15" ht="13" x14ac:dyDescent="0.3">
      <c r="A55" s="217"/>
      <c r="B55" s="94" t="s">
        <v>25</v>
      </c>
      <c r="C55" s="231">
        <v>-0.66359909915833915</v>
      </c>
      <c r="D55" s="232">
        <v>-0.65438900489955776</v>
      </c>
      <c r="E55" s="232">
        <v>-0.56417731241611102</v>
      </c>
      <c r="F55" s="232">
        <v>-0.56488578120524813</v>
      </c>
      <c r="G55" s="232">
        <v>-0.76302088590056716</v>
      </c>
      <c r="H55" s="232">
        <v>-0.96824067848725637</v>
      </c>
      <c r="I55" s="232">
        <v>-0.94179117702614112</v>
      </c>
      <c r="J55" s="232">
        <v>-1.0072064618897925</v>
      </c>
      <c r="K55" s="232">
        <v>-0.94840355239141982</v>
      </c>
      <c r="L55" s="232">
        <v>-0.73326519675681223</v>
      </c>
      <c r="M55" s="232">
        <v>-0.59346068903377447</v>
      </c>
      <c r="N55" s="232">
        <v>-0.58425059477499308</v>
      </c>
      <c r="O55" s="233">
        <v>-8.9866904339400122</v>
      </c>
    </row>
    <row r="56" spans="1:15" ht="13" x14ac:dyDescent="0.3">
      <c r="A56" s="217"/>
      <c r="B56" s="94" t="s">
        <v>26</v>
      </c>
      <c r="C56" s="231">
        <v>-4.5971561117962023E-2</v>
      </c>
      <c r="D56" s="232">
        <v>-4.5333521657605964E-2</v>
      </c>
      <c r="E56" s="232">
        <v>-3.9084006943349209E-2</v>
      </c>
      <c r="F56" s="232">
        <v>-3.9133086901838136E-2</v>
      </c>
      <c r="G56" s="232">
        <v>-5.2859115292574838E-2</v>
      </c>
      <c r="H56" s="232">
        <v>-6.7075943268200822E-2</v>
      </c>
      <c r="I56" s="232">
        <v>-6.5243624817947529E-2</v>
      </c>
      <c r="J56" s="232">
        <v>-6.9775340985091819E-2</v>
      </c>
      <c r="K56" s="232">
        <v>-6.5701704430510849E-2</v>
      </c>
      <c r="L56" s="232">
        <v>-5.0797757036039892E-2</v>
      </c>
      <c r="M56" s="232">
        <v>-4.1112645227558212E-2</v>
      </c>
      <c r="N56" s="232">
        <v>-4.0474605767202153E-2</v>
      </c>
      <c r="O56" s="233">
        <v>-0.62256291344588144</v>
      </c>
    </row>
    <row r="57" spans="1:15" ht="13" x14ac:dyDescent="0.3">
      <c r="A57" s="217"/>
      <c r="B57" s="94" t="s">
        <v>27</v>
      </c>
      <c r="C57" s="231">
        <v>-0.70957066027630122</v>
      </c>
      <c r="D57" s="232">
        <v>-0.69972252655716372</v>
      </c>
      <c r="E57" s="232">
        <v>-0.60326131935946026</v>
      </c>
      <c r="F57" s="232">
        <v>-0.60401886810708627</v>
      </c>
      <c r="G57" s="232">
        <v>-0.81588000119314197</v>
      </c>
      <c r="H57" s="232">
        <v>-1.0353166217554572</v>
      </c>
      <c r="I57" s="232">
        <v>-1.0070348018440887</v>
      </c>
      <c r="J57" s="232">
        <v>-1.0769818028748843</v>
      </c>
      <c r="K57" s="232">
        <v>-1.0141052568219306</v>
      </c>
      <c r="L57" s="232">
        <v>-0.78406295379285207</v>
      </c>
      <c r="M57" s="232">
        <v>-0.63457333426133267</v>
      </c>
      <c r="N57" s="232">
        <v>-0.62472520054219527</v>
      </c>
      <c r="O57" s="233">
        <v>-9.6092533473858968</v>
      </c>
    </row>
    <row r="58" spans="1:15" x14ac:dyDescent="0.25">
      <c r="A58" s="217"/>
      <c r="B58" s="94" t="s">
        <v>50</v>
      </c>
      <c r="C58" s="95">
        <v>1.6577598783519194</v>
      </c>
      <c r="D58" s="83">
        <v>1.6347518231007716</v>
      </c>
      <c r="E58" s="83">
        <v>1.4093908716664538</v>
      </c>
      <c r="F58" s="83">
        <v>1.4111607220703883</v>
      </c>
      <c r="G58" s="83">
        <v>1.9061288850373848</v>
      </c>
      <c r="H58" s="83">
        <v>2.4187955520437256</v>
      </c>
      <c r="I58" s="83">
        <v>2.352721136963507</v>
      </c>
      <c r="J58" s="83">
        <v>2.5161373242601197</v>
      </c>
      <c r="K58" s="83">
        <v>2.3692397407335615</v>
      </c>
      <c r="L58" s="83">
        <v>1.8317951680721385</v>
      </c>
      <c r="M58" s="83">
        <v>1.4825446883624105</v>
      </c>
      <c r="N58" s="83">
        <v>1.4595366331112627</v>
      </c>
      <c r="O58" s="96">
        <v>22.449962423773641</v>
      </c>
    </row>
    <row r="59" spans="1:15" x14ac:dyDescent="0.25">
      <c r="A59" s="217"/>
      <c r="B59" s="94" t="s">
        <v>89</v>
      </c>
      <c r="C59" s="95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96">
        <v>0</v>
      </c>
    </row>
    <row r="60" spans="1:15" x14ac:dyDescent="0.25">
      <c r="A60" s="217"/>
      <c r="B60" s="94" t="s">
        <v>91</v>
      </c>
      <c r="C60" s="95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96">
        <v>0</v>
      </c>
    </row>
    <row r="61" spans="1:15" x14ac:dyDescent="0.25">
      <c r="A61" s="84" t="s">
        <v>22</v>
      </c>
      <c r="B61" s="84" t="s">
        <v>71</v>
      </c>
      <c r="C61" s="91">
        <v>0.96373450623605428</v>
      </c>
      <c r="D61" s="92">
        <v>0.97540970399882587</v>
      </c>
      <c r="E61" s="92">
        <v>0.93436961489332571</v>
      </c>
      <c r="F61" s="92">
        <v>0.85511978765511865</v>
      </c>
      <c r="G61" s="92">
        <v>1.006189770827951</v>
      </c>
      <c r="H61" s="92">
        <v>1.238278550596986</v>
      </c>
      <c r="I61" s="92">
        <v>1.2626903277373267</v>
      </c>
      <c r="J61" s="92">
        <v>1.3323877204423571</v>
      </c>
      <c r="K61" s="92">
        <v>1.2227116202466239</v>
      </c>
      <c r="L61" s="92">
        <v>0.99416077919358026</v>
      </c>
      <c r="M61" s="92">
        <v>0.88413088512624805</v>
      </c>
      <c r="N61" s="92">
        <v>0.89580608288901964</v>
      </c>
      <c r="O61" s="93">
        <v>12.564989349843419</v>
      </c>
    </row>
    <row r="62" spans="1:15" ht="13" x14ac:dyDescent="0.3">
      <c r="A62" s="217"/>
      <c r="B62" s="94" t="s">
        <v>25</v>
      </c>
      <c r="C62" s="231">
        <v>-0.64328966053641135</v>
      </c>
      <c r="D62" s="232">
        <v>-0.65108281721691852</v>
      </c>
      <c r="E62" s="232">
        <v>-0.62368869070362043</v>
      </c>
      <c r="F62" s="232">
        <v>-0.57078968778138983</v>
      </c>
      <c r="G62" s="232">
        <v>-0.67162841210189184</v>
      </c>
      <c r="H62" s="232">
        <v>-0.8265469206598528</v>
      </c>
      <c r="I62" s="232">
        <v>-0.84284170281000437</v>
      </c>
      <c r="J62" s="232">
        <v>-0.88936448663000167</v>
      </c>
      <c r="K62" s="232">
        <v>-0.81615604508584316</v>
      </c>
      <c r="L62" s="232">
        <v>-0.66359909915833915</v>
      </c>
      <c r="M62" s="232">
        <v>-0.59015450135113501</v>
      </c>
      <c r="N62" s="232">
        <v>-0.59794765803164218</v>
      </c>
      <c r="O62" s="233">
        <v>-8.3870896820670495</v>
      </c>
    </row>
    <row r="63" spans="1:15" ht="13" x14ac:dyDescent="0.3">
      <c r="A63" s="217"/>
      <c r="B63" s="94" t="s">
        <v>26</v>
      </c>
      <c r="C63" s="231">
        <v>-4.4564602307946108E-2</v>
      </c>
      <c r="D63" s="232">
        <v>-4.5104481851324305E-2</v>
      </c>
      <c r="E63" s="232">
        <v>-4.3206723456419113E-2</v>
      </c>
      <c r="F63" s="232">
        <v>-3.9542086555912528E-2</v>
      </c>
      <c r="G63" s="232">
        <v>-4.6527800647503198E-2</v>
      </c>
      <c r="H63" s="232">
        <v>-5.7259951570415329E-2</v>
      </c>
      <c r="I63" s="232">
        <v>-5.8388790615660664E-2</v>
      </c>
      <c r="J63" s="232">
        <v>-6.1611707889766894E-2</v>
      </c>
      <c r="K63" s="232">
        <v>-5.6540112179244401E-2</v>
      </c>
      <c r="L63" s="232">
        <v>-4.5971561117962023E-2</v>
      </c>
      <c r="M63" s="232">
        <v>-4.0883605421276552E-2</v>
      </c>
      <c r="N63" s="232">
        <v>-4.1423484964654748E-2</v>
      </c>
      <c r="O63" s="233">
        <v>-0.58102490857808575</v>
      </c>
    </row>
    <row r="64" spans="1:15" ht="13" x14ac:dyDescent="0.3">
      <c r="A64" s="217"/>
      <c r="B64" s="94" t="s">
        <v>27</v>
      </c>
      <c r="C64" s="231">
        <v>-0.68785426284435747</v>
      </c>
      <c r="D64" s="232">
        <v>-0.69618729906824284</v>
      </c>
      <c r="E64" s="232">
        <v>-0.6668954141600395</v>
      </c>
      <c r="F64" s="232">
        <v>-0.61033177433730235</v>
      </c>
      <c r="G64" s="232">
        <v>-0.71815621274939501</v>
      </c>
      <c r="H64" s="232">
        <v>-0.8838068722302681</v>
      </c>
      <c r="I64" s="232">
        <v>-0.90123049342566508</v>
      </c>
      <c r="J64" s="232">
        <v>-0.95097619451976856</v>
      </c>
      <c r="K64" s="232">
        <v>-0.87269615726508754</v>
      </c>
      <c r="L64" s="232">
        <v>-0.70957066027630122</v>
      </c>
      <c r="M64" s="232">
        <v>-0.63103810677241157</v>
      </c>
      <c r="N64" s="232">
        <v>-0.63937114299629694</v>
      </c>
      <c r="O64" s="233">
        <v>-8.9681145906451363</v>
      </c>
    </row>
    <row r="65" spans="1:15" x14ac:dyDescent="0.25">
      <c r="A65" s="217"/>
      <c r="B65" s="94" t="s">
        <v>50</v>
      </c>
      <c r="C65" s="95">
        <v>1.6070241667724656</v>
      </c>
      <c r="D65" s="83">
        <v>1.6264925212157444</v>
      </c>
      <c r="E65" s="83">
        <v>1.5580583055969461</v>
      </c>
      <c r="F65" s="83">
        <v>1.4259094754365085</v>
      </c>
      <c r="G65" s="83">
        <v>1.6778181829298429</v>
      </c>
      <c r="H65" s="83">
        <v>2.0648254712568388</v>
      </c>
      <c r="I65" s="83">
        <v>2.1055320305473311</v>
      </c>
      <c r="J65" s="83">
        <v>2.2217522070723588</v>
      </c>
      <c r="K65" s="83">
        <v>2.0388676653324671</v>
      </c>
      <c r="L65" s="83">
        <v>1.6577598783519194</v>
      </c>
      <c r="M65" s="83">
        <v>1.4742853864773831</v>
      </c>
      <c r="N65" s="83">
        <v>1.4937537409206618</v>
      </c>
      <c r="O65" s="96">
        <v>20.952079031910468</v>
      </c>
    </row>
    <row r="66" spans="1:15" x14ac:dyDescent="0.25">
      <c r="A66" s="217"/>
      <c r="B66" s="94" t="s">
        <v>89</v>
      </c>
      <c r="C66" s="95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96">
        <v>0</v>
      </c>
    </row>
    <row r="67" spans="1:15" x14ac:dyDescent="0.25">
      <c r="A67" s="217"/>
      <c r="B67" s="94" t="s">
        <v>91</v>
      </c>
      <c r="C67" s="95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96">
        <v>0</v>
      </c>
    </row>
    <row r="68" spans="1:15" x14ac:dyDescent="0.25">
      <c r="A68" s="84" t="s">
        <v>9</v>
      </c>
      <c r="B68" s="84" t="s">
        <v>71</v>
      </c>
      <c r="C68" s="91">
        <v>1.8751075194754361E-2</v>
      </c>
      <c r="D68" s="92">
        <v>1.9458662937952637E-2</v>
      </c>
      <c r="E68" s="92">
        <v>1.6274518093560387E-2</v>
      </c>
      <c r="F68" s="92">
        <v>1.1675197762771582E-2</v>
      </c>
      <c r="G68" s="92">
        <v>1.5566930350362111E-2</v>
      </c>
      <c r="H68" s="92">
        <v>1.9458662937952637E-2</v>
      </c>
      <c r="I68" s="92">
        <v>2.0166250681150917E-2</v>
      </c>
      <c r="J68" s="92">
        <v>1.9812456809551775E-2</v>
      </c>
      <c r="K68" s="92">
        <v>2.1227632295948332E-2</v>
      </c>
      <c r="L68" s="92">
        <v>1.6982105836758667E-2</v>
      </c>
      <c r="M68" s="92">
        <v>1.9104869066353499E-2</v>
      </c>
      <c r="N68" s="92">
        <v>1.9458662937952637E-2</v>
      </c>
      <c r="O68" s="93">
        <v>0.21793702490506955</v>
      </c>
    </row>
    <row r="69" spans="1:15" ht="13" x14ac:dyDescent="0.3">
      <c r="A69" s="217"/>
      <c r="B69" s="94" t="s">
        <v>25</v>
      </c>
      <c r="C69" s="231">
        <v>-1.251628194142063E-2</v>
      </c>
      <c r="D69" s="232">
        <v>-1.2988594467511976E-2</v>
      </c>
      <c r="E69" s="232">
        <v>-1.0863188100100927E-2</v>
      </c>
      <c r="F69" s="232">
        <v>-7.7931566805071861E-3</v>
      </c>
      <c r="G69" s="232">
        <v>-1.039087557400958E-2</v>
      </c>
      <c r="H69" s="232">
        <v>-1.2988594467511976E-2</v>
      </c>
      <c r="I69" s="232">
        <v>-1.3460906993603319E-2</v>
      </c>
      <c r="J69" s="232">
        <v>-1.3224750730557646E-2</v>
      </c>
      <c r="K69" s="232">
        <v>-1.4169375782740336E-2</v>
      </c>
      <c r="L69" s="232">
        <v>-1.133550062619227E-2</v>
      </c>
      <c r="M69" s="232">
        <v>-1.2752438204466299E-2</v>
      </c>
      <c r="N69" s="232">
        <v>-1.2988594467511976E-2</v>
      </c>
      <c r="O69" s="233">
        <v>-0.14547225803613412</v>
      </c>
    </row>
    <row r="70" spans="1:15" ht="13" x14ac:dyDescent="0.3">
      <c r="A70" s="217"/>
      <c r="B70" s="94" t="s">
        <v>26</v>
      </c>
      <c r="C70" s="231">
        <v>-8.6707926663771796E-4</v>
      </c>
      <c r="D70" s="232">
        <v>-8.9979923896366955E-4</v>
      </c>
      <c r="E70" s="232">
        <v>-7.5255936349688719E-4</v>
      </c>
      <c r="F70" s="232">
        <v>-5.3987954337820175E-4</v>
      </c>
      <c r="G70" s="232">
        <v>-7.198393911709356E-4</v>
      </c>
      <c r="H70" s="232">
        <v>-8.9979923896366955E-4</v>
      </c>
      <c r="I70" s="232">
        <v>-9.3251921128962114E-4</v>
      </c>
      <c r="J70" s="232">
        <v>-9.1615922512664535E-4</v>
      </c>
      <c r="K70" s="232">
        <v>-9.8159916977854852E-4</v>
      </c>
      <c r="L70" s="232">
        <v>-7.8527933582283878E-4</v>
      </c>
      <c r="M70" s="232">
        <v>-8.8343925280069376E-4</v>
      </c>
      <c r="N70" s="232">
        <v>-8.9979923896366955E-4</v>
      </c>
      <c r="O70" s="233">
        <v>-1.0077751476393098E-2</v>
      </c>
    </row>
    <row r="71" spans="1:15" ht="13" x14ac:dyDescent="0.3">
      <c r="A71" s="217"/>
      <c r="B71" s="94" t="s">
        <v>27</v>
      </c>
      <c r="C71" s="231">
        <v>-1.3383361208058348E-2</v>
      </c>
      <c r="D71" s="232">
        <v>-1.3888393706475646E-2</v>
      </c>
      <c r="E71" s="232">
        <v>-1.1615747463597814E-2</v>
      </c>
      <c r="F71" s="232">
        <v>-8.3330362238853879E-3</v>
      </c>
      <c r="G71" s="232">
        <v>-1.1110714965180516E-2</v>
      </c>
      <c r="H71" s="232">
        <v>-1.3888393706475646E-2</v>
      </c>
      <c r="I71" s="232">
        <v>-1.439342620489294E-2</v>
      </c>
      <c r="J71" s="232">
        <v>-1.4140909955684292E-2</v>
      </c>
      <c r="K71" s="232">
        <v>-1.5150974952518884E-2</v>
      </c>
      <c r="L71" s="232">
        <v>-1.2120779962015108E-2</v>
      </c>
      <c r="M71" s="232">
        <v>-1.3635877457266993E-2</v>
      </c>
      <c r="N71" s="232">
        <v>-1.3888393706475646E-2</v>
      </c>
      <c r="O71" s="233">
        <v>-0.1555500095125272</v>
      </c>
    </row>
    <row r="72" spans="1:15" x14ac:dyDescent="0.25">
      <c r="A72" s="217"/>
      <c r="B72" s="94" t="s">
        <v>50</v>
      </c>
      <c r="C72" s="95">
        <v>3.1267357136174991E-2</v>
      </c>
      <c r="D72" s="83">
        <v>3.2447257405464613E-2</v>
      </c>
      <c r="E72" s="83">
        <v>2.7137706193661314E-2</v>
      </c>
      <c r="F72" s="83">
        <v>1.9468354443278768E-2</v>
      </c>
      <c r="G72" s="83">
        <v>2.5957805924371691E-2</v>
      </c>
      <c r="H72" s="83">
        <v>3.2447257405464613E-2</v>
      </c>
      <c r="I72" s="83">
        <v>3.3627157674754236E-2</v>
      </c>
      <c r="J72" s="83">
        <v>3.3037207540109421E-2</v>
      </c>
      <c r="K72" s="83">
        <v>3.5397008078688667E-2</v>
      </c>
      <c r="L72" s="83">
        <v>2.8317606462950937E-2</v>
      </c>
      <c r="M72" s="83">
        <v>3.1857307270819799E-2</v>
      </c>
      <c r="N72" s="83">
        <v>3.2447257405464613E-2</v>
      </c>
      <c r="O72" s="96">
        <v>0.36340928294120367</v>
      </c>
    </row>
    <row r="73" spans="1:15" x14ac:dyDescent="0.25">
      <c r="A73" s="217"/>
      <c r="B73" s="94" t="s">
        <v>89</v>
      </c>
      <c r="C73" s="95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96">
        <v>0</v>
      </c>
    </row>
    <row r="74" spans="1:15" x14ac:dyDescent="0.25">
      <c r="A74" s="217"/>
      <c r="B74" s="94" t="s">
        <v>91</v>
      </c>
      <c r="C74" s="95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96">
        <v>0</v>
      </c>
    </row>
    <row r="75" spans="1:15" x14ac:dyDescent="0.25">
      <c r="A75" s="84" t="s">
        <v>55</v>
      </c>
      <c r="B75" s="84" t="s">
        <v>71</v>
      </c>
      <c r="C75" s="91">
        <v>3.9978707490702689E-2</v>
      </c>
      <c r="D75" s="92">
        <v>3.8209738132706998E-2</v>
      </c>
      <c r="E75" s="92">
        <v>3.3964211673517333E-2</v>
      </c>
      <c r="F75" s="92">
        <v>3.2195242315521636E-2</v>
      </c>
      <c r="G75" s="92">
        <v>4.4224233949892361E-2</v>
      </c>
      <c r="H75" s="92">
        <v>5.9083576557056192E-2</v>
      </c>
      <c r="I75" s="92">
        <v>5.6607019455862218E-2</v>
      </c>
      <c r="J75" s="92">
        <v>6.403669075944414E-2</v>
      </c>
      <c r="K75" s="92">
        <v>5.5545637841064803E-2</v>
      </c>
      <c r="L75" s="92">
        <v>4.1747676848698387E-2</v>
      </c>
      <c r="M75" s="92">
        <v>3.6086974903112162E-2</v>
      </c>
      <c r="N75" s="92">
        <v>3.5025593288314748E-2</v>
      </c>
      <c r="O75" s="93">
        <v>0.53670530321589371</v>
      </c>
    </row>
    <row r="76" spans="1:15" x14ac:dyDescent="0.25">
      <c r="A76" s="217"/>
      <c r="B76" s="94" t="s">
        <v>25</v>
      </c>
      <c r="C76" s="95">
        <v>-2.6685657724160969E-2</v>
      </c>
      <c r="D76" s="83">
        <v>-2.5504876408932599E-2</v>
      </c>
      <c r="E76" s="83">
        <v>-2.267100125238454E-2</v>
      </c>
      <c r="F76" s="83">
        <v>-2.1490219937156177E-2</v>
      </c>
      <c r="G76" s="83">
        <v>-2.9519532880709035E-2</v>
      </c>
      <c r="H76" s="83">
        <v>-3.9438095928627265E-2</v>
      </c>
      <c r="I76" s="83">
        <v>-3.7785002087307562E-2</v>
      </c>
      <c r="J76" s="83">
        <v>-4.2744283611266684E-2</v>
      </c>
      <c r="K76" s="83">
        <v>-3.7076533298170546E-2</v>
      </c>
      <c r="L76" s="83">
        <v>-2.7866439039389332E-2</v>
      </c>
      <c r="M76" s="83">
        <v>-2.4087938830658573E-2</v>
      </c>
      <c r="N76" s="83">
        <v>-2.3379470041521556E-2</v>
      </c>
      <c r="O76" s="96">
        <v>-0.35824905104028487</v>
      </c>
    </row>
    <row r="77" spans="1:15" x14ac:dyDescent="0.25">
      <c r="A77" s="217"/>
      <c r="B77" s="94" t="s">
        <v>26</v>
      </c>
      <c r="C77" s="95">
        <v>-1.8486784364162663E-3</v>
      </c>
      <c r="D77" s="83">
        <v>-1.7668785056013875E-3</v>
      </c>
      <c r="E77" s="83">
        <v>-1.5705586716456776E-3</v>
      </c>
      <c r="F77" s="83">
        <v>-1.4887587408307986E-3</v>
      </c>
      <c r="G77" s="83">
        <v>-2.0449982703719762E-3</v>
      </c>
      <c r="H77" s="83">
        <v>-2.7321176892169605E-3</v>
      </c>
      <c r="I77" s="83">
        <v>-2.6175977860761297E-3</v>
      </c>
      <c r="J77" s="83">
        <v>-2.9611574954986212E-3</v>
      </c>
      <c r="K77" s="83">
        <v>-2.5685178275872021E-3</v>
      </c>
      <c r="L77" s="83">
        <v>-1.9304783672311455E-3</v>
      </c>
      <c r="M77" s="83">
        <v>-1.6687185886235323E-3</v>
      </c>
      <c r="N77" s="83">
        <v>-1.6196386301346052E-3</v>
      </c>
      <c r="O77" s="96">
        <v>-2.4818099009234301E-2</v>
      </c>
    </row>
    <row r="78" spans="1:15" x14ac:dyDescent="0.25">
      <c r="A78" s="217"/>
      <c r="B78" s="94" t="s">
        <v>27</v>
      </c>
      <c r="C78" s="95">
        <v>-2.8534336160577236E-2</v>
      </c>
      <c r="D78" s="83">
        <v>-2.7271754914533985E-2</v>
      </c>
      <c r="E78" s="83">
        <v>-2.4241559924030216E-2</v>
      </c>
      <c r="F78" s="83">
        <v>-2.2978978677986976E-2</v>
      </c>
      <c r="G78" s="83">
        <v>-3.1564531151081009E-2</v>
      </c>
      <c r="H78" s="83">
        <v>-4.2170213617844225E-2</v>
      </c>
      <c r="I78" s="83">
        <v>-4.0402599873383689E-2</v>
      </c>
      <c r="J78" s="83">
        <v>-4.5705441106765304E-2</v>
      </c>
      <c r="K78" s="83">
        <v>-3.9645051125757745E-2</v>
      </c>
      <c r="L78" s="83">
        <v>-2.9796917406620476E-2</v>
      </c>
      <c r="M78" s="83">
        <v>-2.5756657419282104E-2</v>
      </c>
      <c r="N78" s="83">
        <v>-2.499910867165616E-2</v>
      </c>
      <c r="O78" s="96">
        <v>-0.38306715004951919</v>
      </c>
    </row>
    <row r="79" spans="1:15" x14ac:dyDescent="0.25">
      <c r="A79" s="217"/>
      <c r="B79" s="94" t="s">
        <v>50</v>
      </c>
      <c r="C79" s="95">
        <v>6.6664365214863658E-2</v>
      </c>
      <c r="D79" s="83">
        <v>6.3714614541639597E-2</v>
      </c>
      <c r="E79" s="83">
        <v>5.6635212925901873E-2</v>
      </c>
      <c r="F79" s="83">
        <v>5.3685462252677812E-2</v>
      </c>
      <c r="G79" s="83">
        <v>7.3743766830601395E-2</v>
      </c>
      <c r="H79" s="83">
        <v>9.8521672485683456E-2</v>
      </c>
      <c r="I79" s="83">
        <v>9.439202154316978E-2</v>
      </c>
      <c r="J79" s="83">
        <v>0.10678097437071082</v>
      </c>
      <c r="K79" s="83">
        <v>9.2622171139235349E-2</v>
      </c>
      <c r="L79" s="83">
        <v>6.9614115888087719E-2</v>
      </c>
      <c r="M79" s="83">
        <v>6.0174913733770735E-2</v>
      </c>
      <c r="N79" s="83">
        <v>5.8405063329836304E-2</v>
      </c>
      <c r="O79" s="96">
        <v>0.89495435425617853</v>
      </c>
    </row>
    <row r="80" spans="1:15" x14ac:dyDescent="0.25">
      <c r="A80" s="217"/>
      <c r="B80" s="94" t="s">
        <v>89</v>
      </c>
      <c r="C80" s="95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96">
        <v>0</v>
      </c>
    </row>
    <row r="81" spans="1:15" x14ac:dyDescent="0.25">
      <c r="A81" s="217"/>
      <c r="B81" s="94" t="s">
        <v>91</v>
      </c>
      <c r="C81" s="95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96">
        <v>0</v>
      </c>
    </row>
    <row r="82" spans="1:15" x14ac:dyDescent="0.25">
      <c r="A82" s="84" t="s">
        <v>56</v>
      </c>
      <c r="B82" s="84" t="s">
        <v>71</v>
      </c>
      <c r="C82" s="91">
        <v>2.4765571011939719E-3</v>
      </c>
      <c r="D82" s="92">
        <v>3.5379387159913886E-3</v>
      </c>
      <c r="E82" s="92">
        <v>2.830350972793111E-3</v>
      </c>
      <c r="F82" s="92">
        <v>2.830350972793111E-3</v>
      </c>
      <c r="G82" s="92">
        <v>3.5379387159913886E-3</v>
      </c>
      <c r="H82" s="92">
        <v>4.2455264591896667E-3</v>
      </c>
      <c r="I82" s="92">
        <v>4.9531142023879439E-3</v>
      </c>
      <c r="J82" s="92">
        <v>4.5993203307888057E-3</v>
      </c>
      <c r="K82" s="92">
        <v>4.5993203307888057E-3</v>
      </c>
      <c r="L82" s="92">
        <v>3.8917325875905276E-3</v>
      </c>
      <c r="M82" s="92">
        <v>2.4765571011939719E-3</v>
      </c>
      <c r="N82" s="92">
        <v>2.830350972793111E-3</v>
      </c>
      <c r="O82" s="93">
        <v>4.2809058463495808E-2</v>
      </c>
    </row>
    <row r="83" spans="1:15" x14ac:dyDescent="0.25">
      <c r="A83" s="217"/>
      <c r="B83" s="94" t="s">
        <v>25</v>
      </c>
      <c r="C83" s="95">
        <v>-1.6530938413197058E-3</v>
      </c>
      <c r="D83" s="83">
        <v>-2.3615626304567226E-3</v>
      </c>
      <c r="E83" s="83">
        <v>-1.8892501043653782E-3</v>
      </c>
      <c r="F83" s="83">
        <v>-1.8892501043653782E-3</v>
      </c>
      <c r="G83" s="83">
        <v>-2.3615626304567226E-3</v>
      </c>
      <c r="H83" s="83">
        <v>-2.8338751565480675E-3</v>
      </c>
      <c r="I83" s="83">
        <v>-3.3061876826394115E-3</v>
      </c>
      <c r="J83" s="83">
        <v>-3.0700314195937391E-3</v>
      </c>
      <c r="K83" s="83">
        <v>-3.0700314195937391E-3</v>
      </c>
      <c r="L83" s="83">
        <v>-2.5977188935023951E-3</v>
      </c>
      <c r="M83" s="83">
        <v>-1.6530938413197058E-3</v>
      </c>
      <c r="N83" s="83">
        <v>-1.8892501043653782E-3</v>
      </c>
      <c r="O83" s="96">
        <v>-2.8574907828526345E-2</v>
      </c>
    </row>
    <row r="84" spans="1:15" x14ac:dyDescent="0.25">
      <c r="A84" s="217"/>
      <c r="B84" s="94" t="s">
        <v>26</v>
      </c>
      <c r="C84" s="95">
        <v>-1.1451990314083067E-4</v>
      </c>
      <c r="D84" s="83">
        <v>-1.6359986162975811E-4</v>
      </c>
      <c r="E84" s="83">
        <v>-1.3087988930380646E-4</v>
      </c>
      <c r="F84" s="83">
        <v>-1.3087988930380646E-4</v>
      </c>
      <c r="G84" s="83">
        <v>-1.6359986162975811E-4</v>
      </c>
      <c r="H84" s="83">
        <v>-1.9631983395570969E-4</v>
      </c>
      <c r="I84" s="83">
        <v>-2.2903980628166134E-4</v>
      </c>
      <c r="J84" s="83">
        <v>-2.1267982011868549E-4</v>
      </c>
      <c r="K84" s="83">
        <v>-2.1267982011868549E-4</v>
      </c>
      <c r="L84" s="83">
        <v>-1.799598477927339E-4</v>
      </c>
      <c r="M84" s="83">
        <v>-1.1451990314083067E-4</v>
      </c>
      <c r="N84" s="83">
        <v>-1.3087988930380646E-4</v>
      </c>
      <c r="O84" s="96">
        <v>-1.9795583257200731E-3</v>
      </c>
    </row>
    <row r="85" spans="1:15" x14ac:dyDescent="0.25">
      <c r="A85" s="217"/>
      <c r="B85" s="94" t="s">
        <v>27</v>
      </c>
      <c r="C85" s="95">
        <v>-1.7676137444605365E-3</v>
      </c>
      <c r="D85" s="83">
        <v>-2.5251624920864806E-3</v>
      </c>
      <c r="E85" s="83">
        <v>-2.0201299936691845E-3</v>
      </c>
      <c r="F85" s="83">
        <v>-2.0201299936691845E-3</v>
      </c>
      <c r="G85" s="83">
        <v>-2.5251624920864806E-3</v>
      </c>
      <c r="H85" s="83">
        <v>-3.030194990503777E-3</v>
      </c>
      <c r="I85" s="83">
        <v>-3.5352274889210731E-3</v>
      </c>
      <c r="J85" s="83">
        <v>-3.2827112397124246E-3</v>
      </c>
      <c r="K85" s="83">
        <v>-3.2827112397124246E-3</v>
      </c>
      <c r="L85" s="83">
        <v>-2.777678741295129E-3</v>
      </c>
      <c r="M85" s="83">
        <v>-1.7676137444605365E-3</v>
      </c>
      <c r="N85" s="83">
        <v>-2.0201299936691845E-3</v>
      </c>
      <c r="O85" s="96">
        <v>-3.0554466154246413E-2</v>
      </c>
    </row>
    <row r="86" spans="1:15" x14ac:dyDescent="0.25">
      <c r="A86" s="217"/>
      <c r="B86" s="94" t="s">
        <v>50</v>
      </c>
      <c r="C86" s="95">
        <v>4.1296509425136777E-3</v>
      </c>
      <c r="D86" s="83">
        <v>5.8995013464481112E-3</v>
      </c>
      <c r="E86" s="83">
        <v>4.7196010771584892E-3</v>
      </c>
      <c r="F86" s="83">
        <v>4.7196010771584892E-3</v>
      </c>
      <c r="G86" s="83">
        <v>5.8995013464481112E-3</v>
      </c>
      <c r="H86" s="83">
        <v>7.0794016157377342E-3</v>
      </c>
      <c r="I86" s="83">
        <v>8.2593018850273554E-3</v>
      </c>
      <c r="J86" s="83">
        <v>7.6693517503825448E-3</v>
      </c>
      <c r="K86" s="83">
        <v>7.6693517503825448E-3</v>
      </c>
      <c r="L86" s="83">
        <v>6.4894514810929227E-3</v>
      </c>
      <c r="M86" s="83">
        <v>4.1296509425136777E-3</v>
      </c>
      <c r="N86" s="83">
        <v>4.7196010771584892E-3</v>
      </c>
      <c r="O86" s="96">
        <v>7.138396629202215E-2</v>
      </c>
    </row>
    <row r="87" spans="1:15" x14ac:dyDescent="0.25">
      <c r="A87" s="217"/>
      <c r="B87" s="94" t="s">
        <v>89</v>
      </c>
      <c r="C87" s="95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96">
        <v>0</v>
      </c>
    </row>
    <row r="88" spans="1:15" x14ac:dyDescent="0.25">
      <c r="A88" s="217"/>
      <c r="B88" s="94" t="s">
        <v>91</v>
      </c>
      <c r="C88" s="95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96">
        <v>0</v>
      </c>
    </row>
    <row r="89" spans="1:15" x14ac:dyDescent="0.25">
      <c r="A89" s="84" t="s">
        <v>57</v>
      </c>
      <c r="B89" s="84" t="s">
        <v>71</v>
      </c>
      <c r="C89" s="91">
        <v>7.4296713035819162E-3</v>
      </c>
      <c r="D89" s="92">
        <v>7.4296713035819162E-3</v>
      </c>
      <c r="E89" s="92">
        <v>6.7220835603836382E-3</v>
      </c>
      <c r="F89" s="92">
        <v>7.4296713035819162E-3</v>
      </c>
      <c r="G89" s="92">
        <v>9.9062284047758877E-3</v>
      </c>
      <c r="H89" s="92">
        <v>1.3090373249168138E-2</v>
      </c>
      <c r="I89" s="92">
        <v>1.3444167120767276E-2</v>
      </c>
      <c r="J89" s="92">
        <v>1.4151754863965554E-2</v>
      </c>
      <c r="K89" s="92">
        <v>1.3090373249168138E-2</v>
      </c>
      <c r="L89" s="92">
        <v>1.0613816147974166E-2</v>
      </c>
      <c r="M89" s="92">
        <v>6.7220835603836382E-3</v>
      </c>
      <c r="N89" s="92">
        <v>7.0758774319827772E-3</v>
      </c>
      <c r="O89" s="93">
        <v>0.11710577149931495</v>
      </c>
    </row>
    <row r="90" spans="1:15" x14ac:dyDescent="0.25">
      <c r="A90" s="217"/>
      <c r="B90" s="94" t="s">
        <v>25</v>
      </c>
      <c r="C90" s="95">
        <v>-4.9592815239591177E-3</v>
      </c>
      <c r="D90" s="83">
        <v>-4.9592815239591177E-3</v>
      </c>
      <c r="E90" s="83">
        <v>-4.4869689978677728E-3</v>
      </c>
      <c r="F90" s="83">
        <v>-4.9592815239591177E-3</v>
      </c>
      <c r="G90" s="83">
        <v>-6.612375365278823E-3</v>
      </c>
      <c r="H90" s="83">
        <v>-8.7377817326898758E-3</v>
      </c>
      <c r="I90" s="83">
        <v>-8.9739379957355456E-3</v>
      </c>
      <c r="J90" s="83">
        <v>-9.4462505218268905E-3</v>
      </c>
      <c r="K90" s="83">
        <v>-8.7377817326898758E-3</v>
      </c>
      <c r="L90" s="83">
        <v>-7.0846878913701679E-3</v>
      </c>
      <c r="M90" s="83">
        <v>-4.4869689978677728E-3</v>
      </c>
      <c r="N90" s="83">
        <v>-4.7231252609134453E-3</v>
      </c>
      <c r="O90" s="96">
        <v>-7.8167723068117506E-2</v>
      </c>
    </row>
    <row r="91" spans="1:15" x14ac:dyDescent="0.25">
      <c r="A91" s="217"/>
      <c r="B91" s="94" t="s">
        <v>26</v>
      </c>
      <c r="C91" s="95">
        <v>-3.4355970942249201E-4</v>
      </c>
      <c r="D91" s="83">
        <v>-3.4355970942249201E-4</v>
      </c>
      <c r="E91" s="83">
        <v>-3.1083973709654042E-4</v>
      </c>
      <c r="F91" s="83">
        <v>-3.4355970942249201E-4</v>
      </c>
      <c r="G91" s="83">
        <v>-4.5807961256332267E-4</v>
      </c>
      <c r="H91" s="83">
        <v>-6.0531948803010493E-4</v>
      </c>
      <c r="I91" s="83">
        <v>-6.2167947419308083E-4</v>
      </c>
      <c r="J91" s="83">
        <v>-6.5439944651903242E-4</v>
      </c>
      <c r="K91" s="83">
        <v>-6.0531948803010493E-4</v>
      </c>
      <c r="L91" s="83">
        <v>-4.9079958488927426E-4</v>
      </c>
      <c r="M91" s="83">
        <v>-3.1083973709654042E-4</v>
      </c>
      <c r="N91" s="83">
        <v>-3.2719972325951621E-4</v>
      </c>
      <c r="O91" s="96">
        <v>-5.4151554199449933E-3</v>
      </c>
    </row>
    <row r="92" spans="1:15" x14ac:dyDescent="0.25">
      <c r="A92" s="217"/>
      <c r="B92" s="94" t="s">
        <v>27</v>
      </c>
      <c r="C92" s="95">
        <v>-5.30284123338161E-3</v>
      </c>
      <c r="D92" s="83">
        <v>-5.30284123338161E-3</v>
      </c>
      <c r="E92" s="83">
        <v>-4.7978087349643131E-3</v>
      </c>
      <c r="F92" s="83">
        <v>-5.30284123338161E-3</v>
      </c>
      <c r="G92" s="83">
        <v>-7.0704549778421461E-3</v>
      </c>
      <c r="H92" s="83">
        <v>-9.34310122071998E-3</v>
      </c>
      <c r="I92" s="83">
        <v>-9.5956174699286263E-3</v>
      </c>
      <c r="J92" s="83">
        <v>-1.0100649968345922E-2</v>
      </c>
      <c r="K92" s="83">
        <v>-9.34310122071998E-3</v>
      </c>
      <c r="L92" s="83">
        <v>-7.5754874762594421E-3</v>
      </c>
      <c r="M92" s="83">
        <v>-4.7978087349643131E-3</v>
      </c>
      <c r="N92" s="83">
        <v>-5.0503249841729611E-3</v>
      </c>
      <c r="O92" s="96">
        <v>-8.3582878488062506E-2</v>
      </c>
    </row>
    <row r="93" spans="1:15" x14ac:dyDescent="0.25">
      <c r="A93" s="217"/>
      <c r="B93" s="94" t="s">
        <v>50</v>
      </c>
      <c r="C93" s="95">
        <v>1.2388952827541034E-2</v>
      </c>
      <c r="D93" s="83">
        <v>1.2388952827541034E-2</v>
      </c>
      <c r="E93" s="83">
        <v>1.1209052558251411E-2</v>
      </c>
      <c r="F93" s="83">
        <v>1.2388952827541034E-2</v>
      </c>
      <c r="G93" s="83">
        <v>1.6518603770054711E-2</v>
      </c>
      <c r="H93" s="83">
        <v>2.1828154981858014E-2</v>
      </c>
      <c r="I93" s="83">
        <v>2.2418105116502822E-2</v>
      </c>
      <c r="J93" s="83">
        <v>2.3598005385792445E-2</v>
      </c>
      <c r="K93" s="83">
        <v>2.1828154981858014E-2</v>
      </c>
      <c r="L93" s="83">
        <v>1.7698504039344334E-2</v>
      </c>
      <c r="M93" s="83">
        <v>1.1209052558251411E-2</v>
      </c>
      <c r="N93" s="83">
        <v>1.1799002692896222E-2</v>
      </c>
      <c r="O93" s="96">
        <v>0.19527349456743251</v>
      </c>
    </row>
    <row r="94" spans="1:15" x14ac:dyDescent="0.25">
      <c r="A94" s="217"/>
      <c r="B94" s="94" t="s">
        <v>89</v>
      </c>
      <c r="C94" s="95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96">
        <v>0</v>
      </c>
    </row>
    <row r="95" spans="1:15" x14ac:dyDescent="0.25">
      <c r="A95" s="217"/>
      <c r="B95" s="94" t="s">
        <v>91</v>
      </c>
      <c r="C95" s="95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96">
        <v>0</v>
      </c>
    </row>
    <row r="96" spans="1:15" x14ac:dyDescent="0.25">
      <c r="A96" s="84" t="s">
        <v>58</v>
      </c>
      <c r="B96" s="84" t="s">
        <v>71</v>
      </c>
      <c r="C96" s="91">
        <v>1.2736579377569E-2</v>
      </c>
      <c r="D96" s="92">
        <v>1.1321403891172444E-2</v>
      </c>
      <c r="E96" s="92">
        <v>1.1321403891172444E-2</v>
      </c>
      <c r="F96" s="92">
        <v>1.0967610019573306E-2</v>
      </c>
      <c r="G96" s="92">
        <v>1.3444167120767276E-2</v>
      </c>
      <c r="H96" s="92">
        <v>1.6982105836758667E-2</v>
      </c>
      <c r="I96" s="92">
        <v>1.7335899708357805E-2</v>
      </c>
      <c r="J96" s="92">
        <v>1.7689693579956943E-2</v>
      </c>
      <c r="K96" s="92">
        <v>1.6628311965159528E-2</v>
      </c>
      <c r="L96" s="92">
        <v>1.2736579377569E-2</v>
      </c>
      <c r="M96" s="92">
        <v>9.1986406615776114E-3</v>
      </c>
      <c r="N96" s="92">
        <v>1.0967610019573306E-2</v>
      </c>
      <c r="O96" s="93">
        <v>0.16133000544920734</v>
      </c>
    </row>
    <row r="97" spans="1:15" x14ac:dyDescent="0.25">
      <c r="A97" s="217"/>
      <c r="B97" s="94" t="s">
        <v>25</v>
      </c>
      <c r="C97" s="95">
        <v>-8.5016254696442025E-3</v>
      </c>
      <c r="D97" s="83">
        <v>-7.5570004174615128E-3</v>
      </c>
      <c r="E97" s="83">
        <v>-7.5570004174615128E-3</v>
      </c>
      <c r="F97" s="83">
        <v>-7.3208441544158395E-3</v>
      </c>
      <c r="G97" s="83">
        <v>-8.9739379957355456E-3</v>
      </c>
      <c r="H97" s="83">
        <v>-1.133550062619227E-2</v>
      </c>
      <c r="I97" s="83">
        <v>-1.157165688923794E-2</v>
      </c>
      <c r="J97" s="83">
        <v>-1.1807813152283613E-2</v>
      </c>
      <c r="K97" s="83">
        <v>-1.1099344363146597E-2</v>
      </c>
      <c r="L97" s="83">
        <v>-8.5016254696442025E-3</v>
      </c>
      <c r="M97" s="83">
        <v>-6.1400628391874781E-3</v>
      </c>
      <c r="N97" s="83">
        <v>-7.3208441544158395E-3</v>
      </c>
      <c r="O97" s="96">
        <v>-0.10768725594882653</v>
      </c>
    </row>
    <row r="98" spans="1:15" x14ac:dyDescent="0.25">
      <c r="A98" s="217"/>
      <c r="B98" s="94" t="s">
        <v>26</v>
      </c>
      <c r="C98" s="95">
        <v>-5.8895950186712914E-4</v>
      </c>
      <c r="D98" s="83">
        <v>-5.2351955721522585E-4</v>
      </c>
      <c r="E98" s="83">
        <v>-5.2351955721522585E-4</v>
      </c>
      <c r="F98" s="83">
        <v>-5.0715957105225006E-4</v>
      </c>
      <c r="G98" s="83">
        <v>-6.2167947419308083E-4</v>
      </c>
      <c r="H98" s="83">
        <v>-7.8527933582283878E-4</v>
      </c>
      <c r="I98" s="83">
        <v>-8.0163932198581457E-4</v>
      </c>
      <c r="J98" s="83">
        <v>-8.1799930814879037E-4</v>
      </c>
      <c r="K98" s="83">
        <v>-7.6891934965986298E-4</v>
      </c>
      <c r="L98" s="83">
        <v>-5.8895950186712914E-4</v>
      </c>
      <c r="M98" s="83">
        <v>-4.2535964023737098E-4</v>
      </c>
      <c r="N98" s="83">
        <v>-5.0715957105225006E-4</v>
      </c>
      <c r="O98" s="96">
        <v>-7.4601536903169691E-3</v>
      </c>
    </row>
    <row r="99" spans="1:15" x14ac:dyDescent="0.25">
      <c r="A99" s="217"/>
      <c r="B99" s="94" t="s">
        <v>27</v>
      </c>
      <c r="C99" s="95">
        <v>-9.090584971511332E-3</v>
      </c>
      <c r="D99" s="83">
        <v>-8.0805199746767382E-3</v>
      </c>
      <c r="E99" s="83">
        <v>-8.0805199746767382E-3</v>
      </c>
      <c r="F99" s="83">
        <v>-7.8280037254680902E-3</v>
      </c>
      <c r="G99" s="83">
        <v>-9.5956174699286263E-3</v>
      </c>
      <c r="H99" s="83">
        <v>-1.2120779962015108E-2</v>
      </c>
      <c r="I99" s="83">
        <v>-1.2373296211223754E-2</v>
      </c>
      <c r="J99" s="83">
        <v>-1.2625812460432404E-2</v>
      </c>
      <c r="K99" s="83">
        <v>-1.186826371280646E-2</v>
      </c>
      <c r="L99" s="83">
        <v>-9.090584971511332E-3</v>
      </c>
      <c r="M99" s="83">
        <v>-6.5654224794248492E-3</v>
      </c>
      <c r="N99" s="83">
        <v>-7.8280037254680902E-3</v>
      </c>
      <c r="O99" s="96">
        <v>-0.11514740963914351</v>
      </c>
    </row>
    <row r="100" spans="1:15" x14ac:dyDescent="0.25">
      <c r="A100" s="217"/>
      <c r="B100" s="94" t="s">
        <v>50</v>
      </c>
      <c r="C100" s="95">
        <v>2.1238204847213202E-2</v>
      </c>
      <c r="D100" s="83">
        <v>1.8878404308633957E-2</v>
      </c>
      <c r="E100" s="83">
        <v>1.8878404308633957E-2</v>
      </c>
      <c r="F100" s="83">
        <v>1.8288454173989145E-2</v>
      </c>
      <c r="G100" s="83">
        <v>2.2418105116502822E-2</v>
      </c>
      <c r="H100" s="83">
        <v>2.8317606462950937E-2</v>
      </c>
      <c r="I100" s="83">
        <v>2.8907556597595745E-2</v>
      </c>
      <c r="J100" s="83">
        <v>2.9497506732240556E-2</v>
      </c>
      <c r="K100" s="83">
        <v>2.7727656328306125E-2</v>
      </c>
      <c r="L100" s="83">
        <v>2.1238204847213202E-2</v>
      </c>
      <c r="M100" s="83">
        <v>1.533870350076509E-2</v>
      </c>
      <c r="N100" s="83">
        <v>1.8288454173989145E-2</v>
      </c>
      <c r="O100" s="96">
        <v>0.26901726139803395</v>
      </c>
    </row>
    <row r="101" spans="1:15" x14ac:dyDescent="0.25">
      <c r="A101" s="217"/>
      <c r="B101" s="94" t="s">
        <v>89</v>
      </c>
      <c r="C101" s="95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96">
        <v>0</v>
      </c>
    </row>
    <row r="102" spans="1:15" x14ac:dyDescent="0.25">
      <c r="A102" s="217"/>
      <c r="B102" s="94" t="s">
        <v>91</v>
      </c>
      <c r="C102" s="95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96">
        <v>0</v>
      </c>
    </row>
    <row r="103" spans="1:15" x14ac:dyDescent="0.25">
      <c r="A103" s="84" t="s">
        <v>82</v>
      </c>
      <c r="B103" s="84" t="s">
        <v>71</v>
      </c>
      <c r="C103" s="91">
        <v>4.8469760409082026E-2</v>
      </c>
      <c r="D103" s="92">
        <v>4.6700791051086328E-2</v>
      </c>
      <c r="E103" s="92">
        <v>5.2361492996672553E-2</v>
      </c>
      <c r="F103" s="92">
        <v>3.2549036187120774E-2</v>
      </c>
      <c r="G103" s="92">
        <v>3.6794562646310446E-2</v>
      </c>
      <c r="H103" s="92">
        <v>5.5191843969465665E-2</v>
      </c>
      <c r="I103" s="92">
        <v>5.4838050097866527E-2</v>
      </c>
      <c r="J103" s="92">
        <v>5.6253225584263079E-2</v>
      </c>
      <c r="K103" s="92">
        <v>5.0946317510276E-2</v>
      </c>
      <c r="L103" s="92">
        <v>4.1393882977099249E-2</v>
      </c>
      <c r="M103" s="92">
        <v>4.7408378794284611E-2</v>
      </c>
      <c r="N103" s="92">
        <v>5.1300111381875138E-2</v>
      </c>
      <c r="O103" s="93">
        <v>0.57420745360540248</v>
      </c>
    </row>
    <row r="104" spans="1:15" x14ac:dyDescent="0.25">
      <c r="A104" s="217"/>
      <c r="B104" s="94" t="s">
        <v>25</v>
      </c>
      <c r="C104" s="95">
        <v>-3.2353408037257107E-2</v>
      </c>
      <c r="D104" s="83">
        <v>-3.1172626722028744E-2</v>
      </c>
      <c r="E104" s="83">
        <v>-3.4951126930759503E-2</v>
      </c>
      <c r="F104" s="83">
        <v>-2.1726376200201854E-2</v>
      </c>
      <c r="G104" s="83">
        <v>-2.4560251356749913E-2</v>
      </c>
      <c r="H104" s="83">
        <v>-3.6840377035124869E-2</v>
      </c>
      <c r="I104" s="83">
        <v>-3.6604220772079206E-2</v>
      </c>
      <c r="J104" s="83">
        <v>-3.7548845824261899E-2</v>
      </c>
      <c r="K104" s="83">
        <v>-3.400650187857681E-2</v>
      </c>
      <c r="L104" s="83">
        <v>-2.7630282776343655E-2</v>
      </c>
      <c r="M104" s="83">
        <v>-3.1644939248120077E-2</v>
      </c>
      <c r="N104" s="83">
        <v>-3.4242658141622473E-2</v>
      </c>
      <c r="O104" s="96">
        <v>-0.38328161492312607</v>
      </c>
    </row>
    <row r="105" spans="1:15" x14ac:dyDescent="0.25">
      <c r="A105" s="217"/>
      <c r="B105" s="94" t="s">
        <v>26</v>
      </c>
      <c r="C105" s="95">
        <v>-2.2413181043276858E-3</v>
      </c>
      <c r="D105" s="83">
        <v>-2.159518173512807E-3</v>
      </c>
      <c r="E105" s="83">
        <v>-2.4212779521204197E-3</v>
      </c>
      <c r="F105" s="83">
        <v>-1.5051187269937744E-3</v>
      </c>
      <c r="G105" s="83">
        <v>-1.7014385609494839E-3</v>
      </c>
      <c r="H105" s="83">
        <v>-2.5521578414242265E-3</v>
      </c>
      <c r="I105" s="83">
        <v>-2.5357978552612505E-3</v>
      </c>
      <c r="J105" s="83">
        <v>-2.6012377999131537E-3</v>
      </c>
      <c r="K105" s="83">
        <v>-2.3558380074685165E-3</v>
      </c>
      <c r="L105" s="83">
        <v>-1.9141183810681699E-3</v>
      </c>
      <c r="M105" s="83">
        <v>-2.1922381458387586E-3</v>
      </c>
      <c r="N105" s="83">
        <v>-2.3721979936314926E-3</v>
      </c>
      <c r="O105" s="96">
        <v>-2.6552257542509738E-2</v>
      </c>
    </row>
    <row r="106" spans="1:15" x14ac:dyDescent="0.25">
      <c r="A106" s="217"/>
      <c r="B106" s="94" t="s">
        <v>27</v>
      </c>
      <c r="C106" s="95">
        <v>-3.4594726141584792E-2</v>
      </c>
      <c r="D106" s="83">
        <v>-3.3332144895541552E-2</v>
      </c>
      <c r="E106" s="83">
        <v>-3.737240488287992E-2</v>
      </c>
      <c r="F106" s="83">
        <v>-2.3231494927195628E-2</v>
      </c>
      <c r="G106" s="83">
        <v>-2.6261689917699397E-2</v>
      </c>
      <c r="H106" s="83">
        <v>-3.9392534876549097E-2</v>
      </c>
      <c r="I106" s="83">
        <v>-3.9140018627340456E-2</v>
      </c>
      <c r="J106" s="83">
        <v>-4.0150083624175055E-2</v>
      </c>
      <c r="K106" s="83">
        <v>-3.6362339886045328E-2</v>
      </c>
      <c r="L106" s="83">
        <v>-2.9544401157411825E-2</v>
      </c>
      <c r="M106" s="83">
        <v>-3.3837177393958834E-2</v>
      </c>
      <c r="N106" s="83">
        <v>-3.6614856135253962E-2</v>
      </c>
      <c r="O106" s="96">
        <v>-0.40983387246563574</v>
      </c>
    </row>
    <row r="107" spans="1:15" x14ac:dyDescent="0.25">
      <c r="A107" s="217"/>
      <c r="B107" s="94" t="s">
        <v>50</v>
      </c>
      <c r="C107" s="95">
        <v>8.0823168446339133E-2</v>
      </c>
      <c r="D107" s="83">
        <v>7.7873417773115072E-2</v>
      </c>
      <c r="E107" s="83">
        <v>8.7312619927432056E-2</v>
      </c>
      <c r="F107" s="83">
        <v>5.4275412387322627E-2</v>
      </c>
      <c r="G107" s="83">
        <v>6.1354814003060358E-2</v>
      </c>
      <c r="H107" s="83">
        <v>9.2032221004590534E-2</v>
      </c>
      <c r="I107" s="83">
        <v>9.1442270869945733E-2</v>
      </c>
      <c r="J107" s="83">
        <v>9.3802071408524978E-2</v>
      </c>
      <c r="K107" s="83">
        <v>8.495281938885281E-2</v>
      </c>
      <c r="L107" s="83">
        <v>6.9024165753442904E-2</v>
      </c>
      <c r="M107" s="83">
        <v>7.9053318042404688E-2</v>
      </c>
      <c r="N107" s="83">
        <v>8.5542769523497611E-2</v>
      </c>
      <c r="O107" s="96">
        <v>0.95748906852852855</v>
      </c>
    </row>
    <row r="108" spans="1:15" x14ac:dyDescent="0.25">
      <c r="A108" s="217"/>
      <c r="B108" s="94" t="s">
        <v>89</v>
      </c>
      <c r="C108" s="95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96">
        <v>0</v>
      </c>
    </row>
    <row r="109" spans="1:15" x14ac:dyDescent="0.25">
      <c r="A109" s="217"/>
      <c r="B109" s="94" t="s">
        <v>91</v>
      </c>
      <c r="C109" s="95">
        <v>0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96">
        <v>0</v>
      </c>
    </row>
    <row r="110" spans="1:15" x14ac:dyDescent="0.25">
      <c r="A110" s="84" t="s">
        <v>85</v>
      </c>
      <c r="B110" s="84" t="s">
        <v>71</v>
      </c>
      <c r="C110" s="91">
        <v>1.5566930350362111E-2</v>
      </c>
      <c r="D110" s="92">
        <v>1.4859342607163832E-2</v>
      </c>
      <c r="E110" s="92">
        <v>1.3090373249168138E-2</v>
      </c>
      <c r="F110" s="92">
        <v>9.5524345331767496E-3</v>
      </c>
      <c r="G110" s="92">
        <v>1.4859342607163832E-2</v>
      </c>
      <c r="H110" s="92">
        <v>1.9812456809551775E-2</v>
      </c>
      <c r="I110" s="92">
        <v>1.9104869066353499E-2</v>
      </c>
      <c r="J110" s="92">
        <v>2.0873838424349193E-2</v>
      </c>
      <c r="K110" s="92">
        <v>1.9104869066353499E-2</v>
      </c>
      <c r="L110" s="92">
        <v>1.3090373249168138E-2</v>
      </c>
      <c r="M110" s="92">
        <v>1.3444167120767276E-2</v>
      </c>
      <c r="N110" s="92">
        <v>1.238278550596986E-2</v>
      </c>
      <c r="O110" s="93">
        <v>0.1857417825895479</v>
      </c>
    </row>
    <row r="111" spans="1:15" x14ac:dyDescent="0.25">
      <c r="A111" s="217"/>
      <c r="B111" s="94" t="s">
        <v>25</v>
      </c>
      <c r="C111" s="95">
        <v>-1.039087557400958E-2</v>
      </c>
      <c r="D111" s="83">
        <v>-9.9185630479182354E-3</v>
      </c>
      <c r="E111" s="83">
        <v>-8.7377817326898758E-3</v>
      </c>
      <c r="F111" s="83">
        <v>-6.3762191022331497E-3</v>
      </c>
      <c r="G111" s="83">
        <v>-9.9185630479182354E-3</v>
      </c>
      <c r="H111" s="83">
        <v>-1.3224750730557646E-2</v>
      </c>
      <c r="I111" s="83">
        <v>-1.2752438204466299E-2</v>
      </c>
      <c r="J111" s="83">
        <v>-1.3933219519694666E-2</v>
      </c>
      <c r="K111" s="83">
        <v>-1.2752438204466299E-2</v>
      </c>
      <c r="L111" s="83">
        <v>-8.7377817326898758E-3</v>
      </c>
      <c r="M111" s="83">
        <v>-8.9739379957355456E-3</v>
      </c>
      <c r="N111" s="83">
        <v>-8.2654692065985309E-3</v>
      </c>
      <c r="O111" s="96">
        <v>-0.12398203809897794</v>
      </c>
    </row>
    <row r="112" spans="1:15" x14ac:dyDescent="0.25">
      <c r="A112" s="217"/>
      <c r="B112" s="94" t="s">
        <v>26</v>
      </c>
      <c r="C112" s="95">
        <v>-7.198393911709356E-4</v>
      </c>
      <c r="D112" s="83">
        <v>-6.8711941884498401E-4</v>
      </c>
      <c r="E112" s="83">
        <v>-6.0531948803010493E-4</v>
      </c>
      <c r="F112" s="83">
        <v>-4.4171962640034688E-4</v>
      </c>
      <c r="G112" s="83">
        <v>-6.8711941884498401E-4</v>
      </c>
      <c r="H112" s="83">
        <v>-9.1615922512664535E-4</v>
      </c>
      <c r="I112" s="83">
        <v>-8.8343925280069376E-4</v>
      </c>
      <c r="J112" s="83">
        <v>-9.6523918361557273E-4</v>
      </c>
      <c r="K112" s="83">
        <v>-8.8343925280069376E-4</v>
      </c>
      <c r="L112" s="83">
        <v>-6.0531948803010493E-4</v>
      </c>
      <c r="M112" s="83">
        <v>-6.2167947419308083E-4</v>
      </c>
      <c r="N112" s="83">
        <v>-5.7259951570415334E-4</v>
      </c>
      <c r="O112" s="96">
        <v>-8.5889927355623005E-3</v>
      </c>
    </row>
    <row r="113" spans="1:15" x14ac:dyDescent="0.25">
      <c r="A113" s="217"/>
      <c r="B113" s="94" t="s">
        <v>27</v>
      </c>
      <c r="C113" s="95">
        <v>-1.1110714965180516E-2</v>
      </c>
      <c r="D113" s="83">
        <v>-1.060568246676322E-2</v>
      </c>
      <c r="E113" s="83">
        <v>-9.34310122071998E-3</v>
      </c>
      <c r="F113" s="83">
        <v>-6.8179387286334964E-3</v>
      </c>
      <c r="G113" s="83">
        <v>-1.060568246676322E-2</v>
      </c>
      <c r="H113" s="83">
        <v>-1.4140909955684292E-2</v>
      </c>
      <c r="I113" s="83">
        <v>-1.3635877457266993E-2</v>
      </c>
      <c r="J113" s="83">
        <v>-1.4898458703310238E-2</v>
      </c>
      <c r="K113" s="83">
        <v>-1.3635877457266993E-2</v>
      </c>
      <c r="L113" s="83">
        <v>-9.34310122071998E-3</v>
      </c>
      <c r="M113" s="83">
        <v>-9.5956174699286263E-3</v>
      </c>
      <c r="N113" s="83">
        <v>-8.8380687223026839E-3</v>
      </c>
      <c r="O113" s="96">
        <v>-0.13257103083454022</v>
      </c>
    </row>
    <row r="114" spans="1:15" x14ac:dyDescent="0.25">
      <c r="A114" s="217"/>
      <c r="B114" s="94" t="s">
        <v>50</v>
      </c>
      <c r="C114" s="95">
        <v>2.5957805924371691E-2</v>
      </c>
      <c r="D114" s="83">
        <v>2.4777905655082068E-2</v>
      </c>
      <c r="E114" s="83">
        <v>2.1828154981858014E-2</v>
      </c>
      <c r="F114" s="83">
        <v>1.5928653635409899E-2</v>
      </c>
      <c r="G114" s="83">
        <v>2.4777905655082068E-2</v>
      </c>
      <c r="H114" s="83">
        <v>3.3037207540109421E-2</v>
      </c>
      <c r="I114" s="83">
        <v>3.1857307270819799E-2</v>
      </c>
      <c r="J114" s="83">
        <v>3.4807057944043859E-2</v>
      </c>
      <c r="K114" s="83">
        <v>3.1857307270819799E-2</v>
      </c>
      <c r="L114" s="83">
        <v>2.1828154981858014E-2</v>
      </c>
      <c r="M114" s="83">
        <v>2.2418105116502822E-2</v>
      </c>
      <c r="N114" s="83">
        <v>2.0648254712568391E-2</v>
      </c>
      <c r="O114" s="96">
        <v>0.30972382068852589</v>
      </c>
    </row>
    <row r="115" spans="1:15" x14ac:dyDescent="0.25">
      <c r="A115" s="217"/>
      <c r="B115" s="94" t="s">
        <v>89</v>
      </c>
      <c r="C115" s="95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96">
        <v>0</v>
      </c>
    </row>
    <row r="116" spans="1:15" x14ac:dyDescent="0.25">
      <c r="A116" s="217"/>
      <c r="B116" s="94" t="s">
        <v>91</v>
      </c>
      <c r="C116" s="95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96">
        <v>0</v>
      </c>
    </row>
    <row r="117" spans="1:15" x14ac:dyDescent="0.25">
      <c r="A117" s="84" t="s">
        <v>72</v>
      </c>
      <c r="B117" s="85"/>
      <c r="C117" s="91">
        <v>2.8307047666647098</v>
      </c>
      <c r="D117" s="92">
        <v>2.80629298952437</v>
      </c>
      <c r="E117" s="92">
        <v>2.5621752181209638</v>
      </c>
      <c r="F117" s="92">
        <v>2.2911691124760232</v>
      </c>
      <c r="G117" s="92">
        <v>2.8866041983773743</v>
      </c>
      <c r="H117" s="92">
        <v>3.6773335014014492</v>
      </c>
      <c r="I117" s="92">
        <v>3.6377085877823463</v>
      </c>
      <c r="J117" s="92">
        <v>3.8991622588941093</v>
      </c>
      <c r="K117" s="92">
        <v>3.5977298802916424</v>
      </c>
      <c r="L117" s="92">
        <v>2.8278744156919169</v>
      </c>
      <c r="M117" s="92">
        <v>2.5621752181209638</v>
      </c>
      <c r="N117" s="92">
        <v>2.5710200649109418</v>
      </c>
      <c r="O117" s="93">
        <v>36.149950212256826</v>
      </c>
    </row>
    <row r="118" spans="1:15" ht="13" x14ac:dyDescent="0.3">
      <c r="A118" s="84" t="s">
        <v>28</v>
      </c>
      <c r="B118" s="85"/>
      <c r="C118" s="234">
        <v>-1.8894862606284242</v>
      </c>
      <c r="D118" s="235">
        <v>-1.8731914784782722</v>
      </c>
      <c r="E118" s="235">
        <v>-1.7102436569767583</v>
      </c>
      <c r="F118" s="235">
        <v>-1.529347959483774</v>
      </c>
      <c r="G118" s="235">
        <v>-1.9267989501896403</v>
      </c>
      <c r="H118" s="235">
        <v>-2.4546081980967176</v>
      </c>
      <c r="I118" s="235">
        <v>-2.4281586966356028</v>
      </c>
      <c r="J118" s="235">
        <v>-2.6026781750263543</v>
      </c>
      <c r="K118" s="235">
        <v>-2.4014730389114405</v>
      </c>
      <c r="L118" s="235">
        <v>-1.8875970105240585</v>
      </c>
      <c r="M118" s="235">
        <v>-1.710243656976759</v>
      </c>
      <c r="N118" s="235">
        <v>-1.7161475635529</v>
      </c>
      <c r="O118" s="236">
        <v>-24.129974645480701</v>
      </c>
    </row>
    <row r="119" spans="1:15" ht="13" x14ac:dyDescent="0.3">
      <c r="A119" s="84" t="s">
        <v>29</v>
      </c>
      <c r="B119" s="85"/>
      <c r="C119" s="234">
        <v>-0.1308962492899694</v>
      </c>
      <c r="D119" s="235">
        <v>-0.1297674102447241</v>
      </c>
      <c r="E119" s="235">
        <v>-0.11847901979227084</v>
      </c>
      <c r="F119" s="235">
        <v>-0.10594727039143133</v>
      </c>
      <c r="G119" s="235">
        <v>-0.13348112710371959</v>
      </c>
      <c r="H119" s="235">
        <v>-0.17004569617797058</v>
      </c>
      <c r="I119" s="235">
        <v>-0.16821337772771727</v>
      </c>
      <c r="J119" s="235">
        <v>-0.1803034075021564</v>
      </c>
      <c r="K119" s="235">
        <v>-0.16636469929130102</v>
      </c>
      <c r="L119" s="235">
        <v>-0.13076536940066563</v>
      </c>
      <c r="M119" s="235">
        <v>-0.11847901979227084</v>
      </c>
      <c r="N119" s="235">
        <v>-0.11888801944634522</v>
      </c>
      <c r="O119" s="236">
        <v>-1.671630666160542</v>
      </c>
    </row>
    <row r="120" spans="1:15" ht="13" x14ac:dyDescent="0.3">
      <c r="A120" s="84" t="s">
        <v>30</v>
      </c>
      <c r="B120" s="85"/>
      <c r="C120" s="234">
        <v>-2.020382509918393</v>
      </c>
      <c r="D120" s="235">
        <v>-2.0029588887229961</v>
      </c>
      <c r="E120" s="235">
        <v>-1.8287226767690292</v>
      </c>
      <c r="F120" s="235">
        <v>-1.635295229875205</v>
      </c>
      <c r="G120" s="235">
        <v>-2.0602800772933594</v>
      </c>
      <c r="H120" s="235">
        <v>-2.6246538942746889</v>
      </c>
      <c r="I120" s="235">
        <v>-2.5963720743633196</v>
      </c>
      <c r="J120" s="235">
        <v>-2.7829815825285111</v>
      </c>
      <c r="K120" s="235">
        <v>-2.5678377382027424</v>
      </c>
      <c r="L120" s="235">
        <v>-2.0183623799247243</v>
      </c>
      <c r="M120" s="235">
        <v>-1.8287226767690292</v>
      </c>
      <c r="N120" s="235">
        <v>-1.8350355829992455</v>
      </c>
      <c r="O120" s="236">
        <v>-25.801605311641246</v>
      </c>
    </row>
    <row r="121" spans="1:15" x14ac:dyDescent="0.25">
      <c r="A121" s="84" t="s">
        <v>62</v>
      </c>
      <c r="B121" s="85"/>
      <c r="C121" s="91">
        <v>4.7201910272931338</v>
      </c>
      <c r="D121" s="92">
        <v>4.6794844680026415</v>
      </c>
      <c r="E121" s="92">
        <v>4.2724188750977214</v>
      </c>
      <c r="F121" s="92">
        <v>3.820517071959797</v>
      </c>
      <c r="G121" s="92">
        <v>4.8134031485670139</v>
      </c>
      <c r="H121" s="92">
        <v>6.1319416994981681</v>
      </c>
      <c r="I121" s="92">
        <v>6.0658672844179486</v>
      </c>
      <c r="J121" s="92">
        <v>6.5018404339204627</v>
      </c>
      <c r="K121" s="92">
        <v>5.9992029192030847</v>
      </c>
      <c r="L121" s="92">
        <v>4.7154714262159763</v>
      </c>
      <c r="M121" s="92">
        <v>4.2724188750977223</v>
      </c>
      <c r="N121" s="92">
        <v>4.2871676284638429</v>
      </c>
      <c r="O121" s="93">
        <v>60.27992485773752</v>
      </c>
    </row>
    <row r="122" spans="1:15" x14ac:dyDescent="0.25">
      <c r="A122" s="84" t="s">
        <v>90</v>
      </c>
      <c r="B122" s="85"/>
      <c r="C122" s="91">
        <v>0</v>
      </c>
      <c r="D122" s="92">
        <v>0</v>
      </c>
      <c r="E122" s="92">
        <v>0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2">
        <v>0</v>
      </c>
      <c r="M122" s="92">
        <v>0</v>
      </c>
      <c r="N122" s="92">
        <v>0</v>
      </c>
      <c r="O122" s="93">
        <v>0</v>
      </c>
    </row>
    <row r="123" spans="1:15" x14ac:dyDescent="0.25">
      <c r="A123" s="97" t="s">
        <v>92</v>
      </c>
      <c r="B123" s="218"/>
      <c r="C123" s="98">
        <v>0</v>
      </c>
      <c r="D123" s="99">
        <v>0</v>
      </c>
      <c r="E123" s="99">
        <v>0</v>
      </c>
      <c r="F123" s="99">
        <v>0</v>
      </c>
      <c r="G123" s="99">
        <v>0</v>
      </c>
      <c r="H123" s="99">
        <v>0</v>
      </c>
      <c r="I123" s="99">
        <v>0</v>
      </c>
      <c r="J123" s="99">
        <v>0</v>
      </c>
      <c r="K123" s="99">
        <v>0</v>
      </c>
      <c r="L123" s="99">
        <v>0</v>
      </c>
      <c r="M123" s="99">
        <v>0</v>
      </c>
      <c r="N123" s="99">
        <v>0</v>
      </c>
      <c r="O123" s="100">
        <v>0</v>
      </c>
    </row>
    <row r="125" spans="1:15" x14ac:dyDescent="0.25">
      <c r="L125" s="220"/>
      <c r="O125" s="220"/>
    </row>
    <row r="126" spans="1:15" x14ac:dyDescent="0.25">
      <c r="L126" s="83"/>
      <c r="O126" s="83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N20" sqref="N20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48" customWidth="1"/>
    <col min="5" max="5" width="24.26953125" style="1" customWidth="1"/>
    <col min="6" max="6" width="7.7265625" style="148" customWidth="1"/>
    <col min="7" max="7" width="8" style="148" customWidth="1"/>
    <col min="8" max="8" width="11.1796875" style="148" bestFit="1" customWidth="1"/>
    <col min="9" max="9" width="11.26953125" style="149" customWidth="1"/>
    <col min="10" max="10" width="13.7265625" style="148" customWidth="1"/>
    <col min="11" max="11" width="13.54296875" style="150" customWidth="1"/>
    <col min="12" max="12" width="14.7265625" style="148" customWidth="1"/>
    <col min="13" max="13" width="13.453125" style="111" bestFit="1" customWidth="1"/>
    <col min="14" max="17" width="13.453125" style="111" customWidth="1"/>
    <col min="18" max="18" width="15.54296875" style="216" customWidth="1"/>
    <col min="19" max="16384" width="8.7265625" style="1"/>
  </cols>
  <sheetData>
    <row r="1" spans="2:18" ht="21.5" x14ac:dyDescent="0.3">
      <c r="B1" s="10" t="s">
        <v>96</v>
      </c>
      <c r="C1" s="101"/>
      <c r="D1" s="102"/>
      <c r="E1" s="101"/>
      <c r="F1" s="103" t="s">
        <v>12</v>
      </c>
      <c r="G1" s="104"/>
      <c r="H1" s="105"/>
      <c r="I1" s="106"/>
      <c r="J1" s="225" t="str">
        <f>"True-Up ARR
(CY"&amp;R1&amp;")"</f>
        <v>True-Up ARR
(CY2023)</v>
      </c>
      <c r="K1" s="225" t="str">
        <f>"Projected ARR
(Jan'"&amp;RIGHT(R$1,2)&amp;" - Dec'"&amp;RIGHT(R$1,2)&amp;")"</f>
        <v>Projected ARR
(Jan'23 - Dec'23)</v>
      </c>
      <c r="L1" s="107" t="s">
        <v>46</v>
      </c>
      <c r="M1" s="108"/>
      <c r="N1" s="50"/>
      <c r="O1" s="50"/>
      <c r="P1" s="50"/>
      <c r="Q1" s="50"/>
      <c r="R1" s="109">
        <v>2023</v>
      </c>
    </row>
    <row r="2" spans="2:18" ht="13" x14ac:dyDescent="0.3">
      <c r="B2" s="10" t="s">
        <v>53</v>
      </c>
      <c r="C2" s="101"/>
      <c r="D2" s="102"/>
      <c r="E2" s="101"/>
      <c r="F2" s="110">
        <v>1</v>
      </c>
      <c r="G2" s="238"/>
      <c r="H2" s="238"/>
      <c r="I2" s="112" t="s">
        <v>6</v>
      </c>
      <c r="J2" s="113">
        <v>36.150657800000012</v>
      </c>
      <c r="K2" s="113">
        <v>64.557063333912396</v>
      </c>
      <c r="L2" s="114"/>
      <c r="M2" s="115"/>
      <c r="N2" s="50"/>
      <c r="O2" s="50"/>
      <c r="P2" s="50"/>
      <c r="Q2" s="50"/>
      <c r="R2" s="1"/>
    </row>
    <row r="3" spans="2:18" ht="13" x14ac:dyDescent="0.3">
      <c r="B3" s="10" t="str">
        <f>"for CY"&amp;R1&amp;" SPP Network Transmission Service"</f>
        <v>for CY2023 SPP Network Transmission Service</v>
      </c>
      <c r="C3" s="101"/>
      <c r="D3" s="102"/>
      <c r="E3" s="101"/>
      <c r="F3" s="110"/>
      <c r="G3" s="238"/>
      <c r="H3" s="238"/>
      <c r="I3" s="112" t="s">
        <v>10</v>
      </c>
      <c r="J3" s="116">
        <v>3.5379387159913887E-4</v>
      </c>
      <c r="K3" s="116">
        <v>5.8995013464481114E-4</v>
      </c>
      <c r="L3" s="117" t="str">
        <f>"Inv. Jan-Dec'"&amp;RIGHT(R1,2)</f>
        <v>Inv. Jan-Dec'23</v>
      </c>
      <c r="M3" s="115"/>
      <c r="N3" s="50"/>
      <c r="O3" s="50"/>
      <c r="P3" s="50"/>
      <c r="Q3" s="50"/>
      <c r="R3" s="1"/>
    </row>
    <row r="4" spans="2:18" ht="13" x14ac:dyDescent="0.3">
      <c r="B4" s="9"/>
      <c r="C4" s="101"/>
      <c r="D4" s="102"/>
      <c r="E4" s="101"/>
      <c r="F4" s="110"/>
      <c r="G4" s="111"/>
      <c r="H4" s="111"/>
      <c r="I4" s="49"/>
      <c r="J4" s="111"/>
      <c r="K4" s="118"/>
      <c r="L4" s="111"/>
      <c r="M4" s="119"/>
      <c r="R4" s="1"/>
    </row>
    <row r="5" spans="2:18" ht="13" x14ac:dyDescent="0.3">
      <c r="B5" s="9"/>
      <c r="C5" s="101"/>
      <c r="D5" s="102"/>
      <c r="E5" s="101"/>
      <c r="F5" s="110"/>
      <c r="G5" s="111"/>
      <c r="H5" s="111"/>
      <c r="I5" s="112"/>
      <c r="J5" s="111"/>
      <c r="K5" s="113">
        <v>0</v>
      </c>
      <c r="L5" s="114"/>
      <c r="M5" s="120"/>
      <c r="N5" s="121"/>
      <c r="O5" s="121"/>
      <c r="P5" s="121"/>
      <c r="Q5" s="121"/>
      <c r="R5" s="122"/>
    </row>
    <row r="6" spans="2:18" ht="13" x14ac:dyDescent="0.3">
      <c r="B6" s="10" t="s">
        <v>23</v>
      </c>
      <c r="D6" s="102"/>
      <c r="E6" s="101"/>
      <c r="F6" s="123"/>
      <c r="G6" s="124"/>
      <c r="H6" s="125"/>
      <c r="I6" s="126"/>
      <c r="J6" s="127"/>
      <c r="K6" s="113">
        <v>0</v>
      </c>
      <c r="L6" s="219"/>
      <c r="M6" s="120"/>
      <c r="N6" s="121"/>
      <c r="O6" s="121"/>
      <c r="P6" s="121"/>
      <c r="Q6" s="121"/>
      <c r="R6" s="1"/>
    </row>
    <row r="7" spans="2:18" ht="13" x14ac:dyDescent="0.3">
      <c r="B7" s="9" t="s">
        <v>78</v>
      </c>
      <c r="D7" s="102"/>
      <c r="E7" s="101"/>
      <c r="F7" s="110"/>
      <c r="G7" s="239"/>
      <c r="H7" s="238"/>
      <c r="I7" s="112"/>
      <c r="J7" s="128"/>
      <c r="K7" s="114"/>
      <c r="L7" s="114"/>
      <c r="M7" s="129"/>
      <c r="N7" s="130"/>
      <c r="O7" s="130"/>
      <c r="P7" s="130"/>
      <c r="Q7" s="130"/>
      <c r="R7" s="1"/>
    </row>
    <row r="8" spans="2:18" ht="13" x14ac:dyDescent="0.3">
      <c r="B8" s="10"/>
      <c r="C8" s="101"/>
      <c r="D8" s="102"/>
      <c r="E8" s="101"/>
      <c r="F8" s="110"/>
      <c r="G8" s="238"/>
      <c r="H8" s="238"/>
      <c r="I8" s="112"/>
      <c r="J8" s="131"/>
      <c r="K8" s="114"/>
      <c r="L8" s="132"/>
      <c r="M8" s="115"/>
      <c r="N8" s="50"/>
      <c r="O8" s="50"/>
      <c r="P8" s="50"/>
      <c r="Q8" s="50"/>
      <c r="R8" s="122"/>
    </row>
    <row r="9" spans="2:18" ht="13" x14ac:dyDescent="0.3">
      <c r="B9" s="133"/>
      <c r="C9" s="101"/>
      <c r="D9" s="102"/>
      <c r="E9" s="101"/>
      <c r="F9" s="110"/>
      <c r="G9" s="111"/>
      <c r="H9" s="111"/>
      <c r="I9" s="134"/>
      <c r="J9" s="135"/>
      <c r="K9" s="136"/>
      <c r="L9" s="137"/>
      <c r="M9" s="115"/>
      <c r="N9" s="50"/>
      <c r="O9" s="50"/>
      <c r="P9" s="50"/>
      <c r="Q9" s="50"/>
      <c r="R9" s="122"/>
    </row>
    <row r="10" spans="2:18" ht="13.5" thickBot="1" x14ac:dyDescent="0.35">
      <c r="B10" s="9"/>
      <c r="D10" s="1"/>
      <c r="E10" s="138"/>
      <c r="F10" s="139"/>
      <c r="G10" s="140"/>
      <c r="H10" s="141"/>
      <c r="I10" s="142"/>
      <c r="J10" s="143"/>
      <c r="K10" s="143"/>
      <c r="L10" s="144"/>
      <c r="M10" s="145"/>
      <c r="R10" s="146"/>
    </row>
    <row r="11" spans="2:18" ht="13" x14ac:dyDescent="0.3">
      <c r="B11" s="147" t="s">
        <v>98</v>
      </c>
      <c r="E11" s="138"/>
      <c r="L11" s="151"/>
      <c r="M11" s="1"/>
      <c r="N11" s="1"/>
      <c r="O11" s="1"/>
      <c r="P11" s="1"/>
      <c r="Q11" s="1"/>
      <c r="R11" s="122"/>
    </row>
    <row r="12" spans="2:18" x14ac:dyDescent="0.25">
      <c r="E12" s="138"/>
      <c r="L12" s="151"/>
      <c r="R12" s="152" t="s">
        <v>61</v>
      </c>
    </row>
    <row r="13" spans="2:18" ht="13" x14ac:dyDescent="0.3">
      <c r="E13" s="138"/>
      <c r="F13" s="153"/>
      <c r="G13" s="154"/>
      <c r="H13" s="154"/>
      <c r="I13" s="155" t="s">
        <v>59</v>
      </c>
      <c r="J13" s="156">
        <f t="shared" ref="J13:R13" si="0">SUM(J56:J211)</f>
        <v>9.5474814189743498</v>
      </c>
      <c r="K13" s="156">
        <f t="shared" si="0"/>
        <v>15.920394333524875</v>
      </c>
      <c r="L13" s="157">
        <f t="shared" si="0"/>
        <v>-6.3729129145505174</v>
      </c>
      <c r="M13" s="158">
        <f t="shared" si="0"/>
        <v>-0.44149058659406504</v>
      </c>
      <c r="N13" s="156">
        <f t="shared" si="0"/>
        <v>-6.8144035011445769</v>
      </c>
      <c r="O13" s="156">
        <f>SUM(O56:O211)</f>
        <v>0</v>
      </c>
      <c r="P13" s="156">
        <f t="shared" si="0"/>
        <v>0</v>
      </c>
      <c r="Q13" s="156">
        <v>0</v>
      </c>
      <c r="R13" s="157">
        <f t="shared" si="0"/>
        <v>-6.8144035011445769</v>
      </c>
    </row>
    <row r="14" spans="2:18" ht="13" x14ac:dyDescent="0.3">
      <c r="E14" s="138"/>
      <c r="F14" s="159"/>
      <c r="G14" s="159"/>
      <c r="H14" s="159"/>
      <c r="I14" s="160" t="s">
        <v>60</v>
      </c>
      <c r="J14" s="156">
        <f>SUM(J20:J211)</f>
        <v>36.14995021225684</v>
      </c>
      <c r="K14" s="156">
        <f>SUM(K20:K211)</f>
        <v>60.279924857737512</v>
      </c>
      <c r="L14" s="157">
        <f>SUM(L20:L211)</f>
        <v>-24.129974645480697</v>
      </c>
      <c r="M14" s="221">
        <v>-1.6716306661605422</v>
      </c>
      <c r="N14" s="156">
        <f>SUM(N20:N211)</f>
        <v>-25.801605311641225</v>
      </c>
      <c r="O14" s="156">
        <f>SUM(O20:O211)</f>
        <v>0</v>
      </c>
      <c r="P14" s="156">
        <f>SUM(P20:P211)</f>
        <v>0</v>
      </c>
      <c r="Q14" s="156">
        <v>0</v>
      </c>
      <c r="R14" s="157">
        <f>SUM(R20:R211)</f>
        <v>-25.801605311641225</v>
      </c>
    </row>
    <row r="15" spans="2:18" x14ac:dyDescent="0.25">
      <c r="B15" s="161" t="s">
        <v>84</v>
      </c>
      <c r="E15" s="138"/>
      <c r="J15" s="149"/>
      <c r="L15" s="151"/>
      <c r="M15" s="226"/>
      <c r="N15" s="162"/>
      <c r="O15" s="162"/>
      <c r="P15" s="162"/>
      <c r="Q15" s="162"/>
      <c r="R15" s="163" t="s">
        <v>20</v>
      </c>
    </row>
    <row r="16" spans="2:18" x14ac:dyDescent="0.25">
      <c r="B16" s="164" t="str">
        <f>"** Actual Trued-Up CY"&amp;R1&amp;" Charge reflects "&amp;R1&amp;" True-UP Rate x MW"</f>
        <v>** Actual Trued-Up CY2023 Charge reflects 2023 True-UP Rate x MW</v>
      </c>
      <c r="E16" s="138"/>
      <c r="F16" s="111"/>
      <c r="G16" s="5"/>
      <c r="J16" s="165"/>
      <c r="L16" s="166" t="s">
        <v>11</v>
      </c>
      <c r="M16" s="162"/>
      <c r="N16" s="162"/>
      <c r="O16" s="162"/>
      <c r="P16" s="162"/>
      <c r="Q16" s="162"/>
      <c r="R16" s="167"/>
    </row>
    <row r="17" spans="1:18" x14ac:dyDescent="0.25">
      <c r="B17" s="168" t="s">
        <v>63</v>
      </c>
      <c r="E17" s="138"/>
      <c r="I17" s="169"/>
      <c r="J17" s="170"/>
      <c r="K17" s="171"/>
      <c r="L17" s="171"/>
      <c r="M17" s="171"/>
      <c r="N17" s="171"/>
      <c r="O17" s="171"/>
      <c r="P17" s="171"/>
      <c r="Q17" s="171"/>
      <c r="R17" s="172"/>
    </row>
    <row r="18" spans="1:18" ht="3.65" customHeight="1" x14ac:dyDescent="0.25">
      <c r="I18" s="173"/>
      <c r="J18" s="170"/>
      <c r="K18" s="173"/>
      <c r="L18" s="173"/>
      <c r="M18" s="174"/>
      <c r="N18" s="174"/>
      <c r="O18" s="174"/>
      <c r="P18" s="174"/>
      <c r="Q18" s="174"/>
      <c r="R18" s="175"/>
    </row>
    <row r="19" spans="1:18" ht="38.25" customHeight="1" x14ac:dyDescent="0.25">
      <c r="B19" s="176" t="s">
        <v>54</v>
      </c>
      <c r="C19" s="227" t="s">
        <v>4</v>
      </c>
      <c r="D19" s="227" t="s">
        <v>5</v>
      </c>
      <c r="E19" s="228" t="s">
        <v>0</v>
      </c>
      <c r="F19" s="229" t="s">
        <v>12</v>
      </c>
      <c r="G19" s="230" t="s">
        <v>1</v>
      </c>
      <c r="H19" s="177" t="s">
        <v>49</v>
      </c>
      <c r="I19" s="177" t="s">
        <v>47</v>
      </c>
      <c r="J19" s="178" t="str">
        <f>"True-Up Charge"</f>
        <v>True-Up Charge</v>
      </c>
      <c r="K19" s="178" t="s">
        <v>48</v>
      </c>
      <c r="L19" s="179" t="s">
        <v>3</v>
      </c>
      <c r="M19" s="180" t="s">
        <v>7</v>
      </c>
      <c r="N19" s="181" t="s">
        <v>99</v>
      </c>
      <c r="O19" s="181" t="s">
        <v>86</v>
      </c>
      <c r="P19" s="181" t="s">
        <v>87</v>
      </c>
      <c r="Q19" s="181" t="s">
        <v>88</v>
      </c>
      <c r="R19" s="182" t="s">
        <v>2</v>
      </c>
    </row>
    <row r="20" spans="1:18" s="50" customFormat="1" ht="12.75" customHeight="1" x14ac:dyDescent="0.25">
      <c r="A20" s="111">
        <v>1</v>
      </c>
      <c r="B20" s="183">
        <f>DATE($R$1,A20,1)</f>
        <v>44927</v>
      </c>
      <c r="C20" s="222">
        <v>44960</v>
      </c>
      <c r="D20" s="222">
        <v>44981</v>
      </c>
      <c r="E20" s="184" t="s">
        <v>21</v>
      </c>
      <c r="F20" s="111">
        <v>9</v>
      </c>
      <c r="G20" s="185">
        <v>2810</v>
      </c>
      <c r="H20" s="186">
        <f>+$K$3</f>
        <v>5.8995013464481114E-4</v>
      </c>
      <c r="I20" s="186">
        <f t="shared" ref="I20:I63" si="1">$J$3</f>
        <v>3.5379387159913887E-4</v>
      </c>
      <c r="J20" s="187">
        <f t="shared" ref="J20:J108" si="2">+$G20*I20</f>
        <v>0.99416077919358026</v>
      </c>
      <c r="K20" s="188">
        <f>+$G20*H20</f>
        <v>1.6577598783519194</v>
      </c>
      <c r="L20" s="189">
        <f t="shared" ref="L20:L34" si="3">+J20-K20</f>
        <v>-0.66359909915833915</v>
      </c>
      <c r="M20" s="190">
        <f>G20/$G$212*$M$14</f>
        <v>-4.5971561117962023E-2</v>
      </c>
      <c r="N20" s="191">
        <f>SUM(L20:M20)</f>
        <v>-0.70957066027630122</v>
      </c>
      <c r="O20" s="190">
        <f>+$P$3</f>
        <v>0</v>
      </c>
      <c r="P20" s="190">
        <f>+G20*O20</f>
        <v>0</v>
      </c>
      <c r="Q20" s="190">
        <v>0</v>
      </c>
      <c r="R20" s="191">
        <f>+N20-Q20</f>
        <v>-0.70957066027630122</v>
      </c>
    </row>
    <row r="21" spans="1:18" x14ac:dyDescent="0.25">
      <c r="A21" s="148">
        <v>2</v>
      </c>
      <c r="B21" s="183">
        <f t="shared" ref="B21:B108" si="4">DATE($R$1,A21,1)</f>
        <v>44958</v>
      </c>
      <c r="C21" s="222">
        <v>44988</v>
      </c>
      <c r="D21" s="222">
        <v>45009</v>
      </c>
      <c r="E21" s="192" t="s">
        <v>21</v>
      </c>
      <c r="F21" s="148">
        <v>9</v>
      </c>
      <c r="G21" s="185">
        <v>2771</v>
      </c>
      <c r="H21" s="186">
        <f t="shared" ref="H21:H84" si="5">+$K$3</f>
        <v>5.8995013464481114E-4</v>
      </c>
      <c r="I21" s="186">
        <f t="shared" si="1"/>
        <v>3.5379387159913887E-4</v>
      </c>
      <c r="J21" s="187">
        <f t="shared" si="2"/>
        <v>0.98036281820121385</v>
      </c>
      <c r="K21" s="188">
        <f t="shared" ref="K21:K33" si="6">+$G21*H21</f>
        <v>1.6347518231007716</v>
      </c>
      <c r="L21" s="189">
        <f t="shared" si="3"/>
        <v>-0.65438900489955776</v>
      </c>
      <c r="M21" s="190">
        <f t="shared" ref="M21:M84" si="7">G21/$G$212*$M$14</f>
        <v>-4.5333521657605964E-2</v>
      </c>
      <c r="N21" s="191">
        <f t="shared" ref="N21:N84" si="8">SUM(L21:M21)</f>
        <v>-0.69972252655716372</v>
      </c>
      <c r="O21" s="190">
        <f t="shared" ref="O21:O84" si="9">+$P$3</f>
        <v>0</v>
      </c>
      <c r="P21" s="190">
        <f t="shared" ref="P21:P84" si="10">+G21*O21</f>
        <v>0</v>
      </c>
      <c r="Q21" s="190">
        <v>0</v>
      </c>
      <c r="R21" s="191">
        <f t="shared" ref="R21:R84" si="11">+N21-Q21</f>
        <v>-0.69972252655716372</v>
      </c>
    </row>
    <row r="22" spans="1:18" x14ac:dyDescent="0.25">
      <c r="A22" s="148">
        <v>3</v>
      </c>
      <c r="B22" s="183">
        <f t="shared" si="4"/>
        <v>44986</v>
      </c>
      <c r="C22" s="222">
        <v>45021</v>
      </c>
      <c r="D22" s="222">
        <v>45040</v>
      </c>
      <c r="E22" s="192" t="s">
        <v>21</v>
      </c>
      <c r="F22" s="148">
        <v>9</v>
      </c>
      <c r="G22" s="185">
        <v>2389</v>
      </c>
      <c r="H22" s="186">
        <f t="shared" si="5"/>
        <v>5.8995013464481114E-4</v>
      </c>
      <c r="I22" s="186">
        <f t="shared" si="1"/>
        <v>3.5379387159913887E-4</v>
      </c>
      <c r="J22" s="187">
        <f t="shared" si="2"/>
        <v>0.84521355925034281</v>
      </c>
      <c r="K22" s="188">
        <f t="shared" si="6"/>
        <v>1.4093908716664538</v>
      </c>
      <c r="L22" s="189">
        <f t="shared" si="3"/>
        <v>-0.56417731241611102</v>
      </c>
      <c r="M22" s="190">
        <f t="shared" si="7"/>
        <v>-3.9084006943349209E-2</v>
      </c>
      <c r="N22" s="191">
        <f t="shared" si="8"/>
        <v>-0.60326131935946026</v>
      </c>
      <c r="O22" s="190">
        <f t="shared" si="9"/>
        <v>0</v>
      </c>
      <c r="P22" s="190">
        <f t="shared" si="10"/>
        <v>0</v>
      </c>
      <c r="Q22" s="190">
        <v>0</v>
      </c>
      <c r="R22" s="191">
        <f t="shared" si="11"/>
        <v>-0.60326131935946026</v>
      </c>
    </row>
    <row r="23" spans="1:18" x14ac:dyDescent="0.25">
      <c r="A23" s="111">
        <v>4</v>
      </c>
      <c r="B23" s="183">
        <f t="shared" si="4"/>
        <v>45017</v>
      </c>
      <c r="C23" s="222">
        <v>45049</v>
      </c>
      <c r="D23" s="222">
        <v>45070</v>
      </c>
      <c r="E23" s="192" t="s">
        <v>21</v>
      </c>
      <c r="F23" s="148">
        <v>9</v>
      </c>
      <c r="G23" s="185">
        <v>2392</v>
      </c>
      <c r="H23" s="186">
        <f t="shared" si="5"/>
        <v>5.8995013464481114E-4</v>
      </c>
      <c r="I23" s="186">
        <f t="shared" si="1"/>
        <v>3.5379387159913887E-4</v>
      </c>
      <c r="J23" s="187">
        <f t="shared" si="2"/>
        <v>0.84627494086514021</v>
      </c>
      <c r="K23" s="188">
        <f t="shared" si="6"/>
        <v>1.4111607220703883</v>
      </c>
      <c r="L23" s="189">
        <f t="shared" si="3"/>
        <v>-0.56488578120524813</v>
      </c>
      <c r="M23" s="190">
        <f t="shared" si="7"/>
        <v>-3.9133086901838136E-2</v>
      </c>
      <c r="N23" s="191">
        <f t="shared" si="8"/>
        <v>-0.60401886810708627</v>
      </c>
      <c r="O23" s="190">
        <f t="shared" si="9"/>
        <v>0</v>
      </c>
      <c r="P23" s="190">
        <f t="shared" si="10"/>
        <v>0</v>
      </c>
      <c r="Q23" s="190">
        <v>0</v>
      </c>
      <c r="R23" s="191">
        <f t="shared" si="11"/>
        <v>-0.60401886810708627</v>
      </c>
    </row>
    <row r="24" spans="1:18" ht="12" customHeight="1" x14ac:dyDescent="0.25">
      <c r="A24" s="148">
        <v>5</v>
      </c>
      <c r="B24" s="183">
        <f t="shared" si="4"/>
        <v>45047</v>
      </c>
      <c r="C24" s="222">
        <v>45082</v>
      </c>
      <c r="D24" s="222">
        <v>45103</v>
      </c>
      <c r="E24" s="52" t="s">
        <v>21</v>
      </c>
      <c r="F24" s="148">
        <v>9</v>
      </c>
      <c r="G24" s="185">
        <v>3231</v>
      </c>
      <c r="H24" s="186">
        <f t="shared" si="5"/>
        <v>5.8995013464481114E-4</v>
      </c>
      <c r="I24" s="186">
        <f t="shared" si="1"/>
        <v>3.5379387159913887E-4</v>
      </c>
      <c r="J24" s="187">
        <f t="shared" si="2"/>
        <v>1.1431079991368176</v>
      </c>
      <c r="K24" s="188">
        <f t="shared" si="6"/>
        <v>1.9061288850373848</v>
      </c>
      <c r="L24" s="189">
        <f t="shared" si="3"/>
        <v>-0.76302088590056716</v>
      </c>
      <c r="M24" s="190">
        <f t="shared" si="7"/>
        <v>-5.2859115292574838E-2</v>
      </c>
      <c r="N24" s="191">
        <f t="shared" si="8"/>
        <v>-0.81588000119314197</v>
      </c>
      <c r="O24" s="190">
        <f t="shared" si="9"/>
        <v>0</v>
      </c>
      <c r="P24" s="190">
        <f t="shared" si="10"/>
        <v>0</v>
      </c>
      <c r="Q24" s="190">
        <v>0</v>
      </c>
      <c r="R24" s="191">
        <f t="shared" si="11"/>
        <v>-0.81588000119314197</v>
      </c>
    </row>
    <row r="25" spans="1:18" x14ac:dyDescent="0.25">
      <c r="A25" s="148">
        <v>6</v>
      </c>
      <c r="B25" s="183">
        <f t="shared" si="4"/>
        <v>45078</v>
      </c>
      <c r="C25" s="222">
        <v>45112</v>
      </c>
      <c r="D25" s="222">
        <v>45131</v>
      </c>
      <c r="E25" s="52" t="s">
        <v>21</v>
      </c>
      <c r="F25" s="148">
        <v>9</v>
      </c>
      <c r="G25" s="185">
        <v>4100</v>
      </c>
      <c r="H25" s="186">
        <f t="shared" si="5"/>
        <v>5.8995013464481114E-4</v>
      </c>
      <c r="I25" s="186">
        <f t="shared" si="1"/>
        <v>3.5379387159913887E-4</v>
      </c>
      <c r="J25" s="187">
        <f t="shared" si="2"/>
        <v>1.4505548735564693</v>
      </c>
      <c r="K25" s="188">
        <f t="shared" si="6"/>
        <v>2.4187955520437256</v>
      </c>
      <c r="L25" s="193">
        <f t="shared" si="3"/>
        <v>-0.96824067848725637</v>
      </c>
      <c r="M25" s="190">
        <f t="shared" si="7"/>
        <v>-6.7075943268200822E-2</v>
      </c>
      <c r="N25" s="191">
        <f t="shared" si="8"/>
        <v>-1.0353166217554572</v>
      </c>
      <c r="O25" s="190">
        <f t="shared" si="9"/>
        <v>0</v>
      </c>
      <c r="P25" s="190">
        <f t="shared" si="10"/>
        <v>0</v>
      </c>
      <c r="Q25" s="190">
        <v>0</v>
      </c>
      <c r="R25" s="191">
        <f t="shared" si="11"/>
        <v>-1.0353166217554572</v>
      </c>
    </row>
    <row r="26" spans="1:18" x14ac:dyDescent="0.25">
      <c r="A26" s="111">
        <v>7</v>
      </c>
      <c r="B26" s="183">
        <f t="shared" si="4"/>
        <v>45108</v>
      </c>
      <c r="C26" s="222">
        <v>45141</v>
      </c>
      <c r="D26" s="222">
        <v>45162</v>
      </c>
      <c r="E26" s="52" t="s">
        <v>21</v>
      </c>
      <c r="F26" s="148">
        <v>9</v>
      </c>
      <c r="G26" s="185">
        <v>3988</v>
      </c>
      <c r="H26" s="186">
        <f t="shared" si="5"/>
        <v>5.8995013464481114E-4</v>
      </c>
      <c r="I26" s="186">
        <f t="shared" si="1"/>
        <v>3.5379387159913887E-4</v>
      </c>
      <c r="J26" s="187">
        <f t="shared" si="2"/>
        <v>1.4109299599373659</v>
      </c>
      <c r="K26" s="194">
        <f t="shared" si="6"/>
        <v>2.352721136963507</v>
      </c>
      <c r="L26" s="193">
        <f t="shared" si="3"/>
        <v>-0.94179117702614112</v>
      </c>
      <c r="M26" s="190">
        <f t="shared" si="7"/>
        <v>-6.5243624817947529E-2</v>
      </c>
      <c r="N26" s="191">
        <f t="shared" si="8"/>
        <v>-1.0070348018440887</v>
      </c>
      <c r="O26" s="190">
        <f t="shared" si="9"/>
        <v>0</v>
      </c>
      <c r="P26" s="190">
        <f t="shared" si="10"/>
        <v>0</v>
      </c>
      <c r="Q26" s="190">
        <v>0</v>
      </c>
      <c r="R26" s="191">
        <f t="shared" si="11"/>
        <v>-1.0070348018440887</v>
      </c>
    </row>
    <row r="27" spans="1:18" x14ac:dyDescent="0.25">
      <c r="A27" s="148">
        <v>8</v>
      </c>
      <c r="B27" s="183">
        <f t="shared" si="4"/>
        <v>45139</v>
      </c>
      <c r="C27" s="222">
        <v>45174</v>
      </c>
      <c r="D27" s="222">
        <v>45194</v>
      </c>
      <c r="E27" s="52" t="s">
        <v>21</v>
      </c>
      <c r="F27" s="148">
        <v>9</v>
      </c>
      <c r="G27" s="185">
        <v>4265</v>
      </c>
      <c r="H27" s="186">
        <f t="shared" si="5"/>
        <v>5.8995013464481114E-4</v>
      </c>
      <c r="I27" s="186">
        <f t="shared" si="1"/>
        <v>3.5379387159913887E-4</v>
      </c>
      <c r="J27" s="187">
        <f t="shared" si="2"/>
        <v>1.5089308623703273</v>
      </c>
      <c r="K27" s="194">
        <f t="shared" si="6"/>
        <v>2.5161373242601197</v>
      </c>
      <c r="L27" s="193">
        <f t="shared" si="3"/>
        <v>-1.0072064618897925</v>
      </c>
      <c r="M27" s="190">
        <f t="shared" si="7"/>
        <v>-6.9775340985091819E-2</v>
      </c>
      <c r="N27" s="191">
        <f t="shared" si="8"/>
        <v>-1.0769818028748843</v>
      </c>
      <c r="O27" s="190">
        <f t="shared" si="9"/>
        <v>0</v>
      </c>
      <c r="P27" s="190">
        <f t="shared" si="10"/>
        <v>0</v>
      </c>
      <c r="Q27" s="190">
        <v>0</v>
      </c>
      <c r="R27" s="191">
        <f t="shared" si="11"/>
        <v>-1.0769818028748843</v>
      </c>
    </row>
    <row r="28" spans="1:18" x14ac:dyDescent="0.25">
      <c r="A28" s="148">
        <v>9</v>
      </c>
      <c r="B28" s="183">
        <f t="shared" si="4"/>
        <v>45170</v>
      </c>
      <c r="C28" s="222">
        <v>45203</v>
      </c>
      <c r="D28" s="222">
        <v>45223</v>
      </c>
      <c r="E28" s="52" t="s">
        <v>21</v>
      </c>
      <c r="F28" s="148">
        <v>9</v>
      </c>
      <c r="G28" s="185">
        <v>4016</v>
      </c>
      <c r="H28" s="186">
        <f t="shared" si="5"/>
        <v>5.8995013464481114E-4</v>
      </c>
      <c r="I28" s="186">
        <f t="shared" si="1"/>
        <v>3.5379387159913887E-4</v>
      </c>
      <c r="J28" s="187">
        <f t="shared" si="2"/>
        <v>1.4208361883421416</v>
      </c>
      <c r="K28" s="194">
        <f t="shared" si="6"/>
        <v>2.3692397407335615</v>
      </c>
      <c r="L28" s="193">
        <f t="shared" si="3"/>
        <v>-0.94840355239141982</v>
      </c>
      <c r="M28" s="190">
        <f t="shared" si="7"/>
        <v>-6.5701704430510849E-2</v>
      </c>
      <c r="N28" s="191">
        <f t="shared" si="8"/>
        <v>-1.0141052568219306</v>
      </c>
      <c r="O28" s="190">
        <f t="shared" si="9"/>
        <v>0</v>
      </c>
      <c r="P28" s="190">
        <f t="shared" si="10"/>
        <v>0</v>
      </c>
      <c r="Q28" s="190">
        <v>0</v>
      </c>
      <c r="R28" s="191">
        <f t="shared" si="11"/>
        <v>-1.0141052568219306</v>
      </c>
    </row>
    <row r="29" spans="1:18" x14ac:dyDescent="0.25">
      <c r="A29" s="111">
        <v>10</v>
      </c>
      <c r="B29" s="183">
        <f t="shared" si="4"/>
        <v>45200</v>
      </c>
      <c r="C29" s="222">
        <v>45233</v>
      </c>
      <c r="D29" s="222">
        <v>45254</v>
      </c>
      <c r="E29" s="52" t="s">
        <v>21</v>
      </c>
      <c r="F29" s="148">
        <v>9</v>
      </c>
      <c r="G29" s="185">
        <v>3105</v>
      </c>
      <c r="H29" s="186">
        <f t="shared" si="5"/>
        <v>5.8995013464481114E-4</v>
      </c>
      <c r="I29" s="186">
        <f t="shared" si="1"/>
        <v>3.5379387159913887E-4</v>
      </c>
      <c r="J29" s="187">
        <f t="shared" si="2"/>
        <v>1.0985299713153263</v>
      </c>
      <c r="K29" s="194">
        <f t="shared" si="6"/>
        <v>1.8317951680721385</v>
      </c>
      <c r="L29" s="193">
        <f t="shared" si="3"/>
        <v>-0.73326519675681223</v>
      </c>
      <c r="M29" s="190">
        <f t="shared" si="7"/>
        <v>-5.0797757036039892E-2</v>
      </c>
      <c r="N29" s="191">
        <f t="shared" si="8"/>
        <v>-0.78406295379285207</v>
      </c>
      <c r="O29" s="190">
        <f t="shared" si="9"/>
        <v>0</v>
      </c>
      <c r="P29" s="190">
        <f t="shared" si="10"/>
        <v>0</v>
      </c>
      <c r="Q29" s="190">
        <v>0</v>
      </c>
      <c r="R29" s="191">
        <f t="shared" si="11"/>
        <v>-0.78406295379285207</v>
      </c>
    </row>
    <row r="30" spans="1:18" x14ac:dyDescent="0.25">
      <c r="A30" s="148">
        <v>11</v>
      </c>
      <c r="B30" s="183">
        <f t="shared" si="4"/>
        <v>45231</v>
      </c>
      <c r="C30" s="222">
        <v>45266</v>
      </c>
      <c r="D30" s="222">
        <v>45285</v>
      </c>
      <c r="E30" s="52" t="s">
        <v>21</v>
      </c>
      <c r="F30" s="148">
        <v>9</v>
      </c>
      <c r="G30" s="185">
        <v>2513</v>
      </c>
      <c r="H30" s="186">
        <f t="shared" si="5"/>
        <v>5.8995013464481114E-4</v>
      </c>
      <c r="I30" s="186">
        <f t="shared" si="1"/>
        <v>3.5379387159913887E-4</v>
      </c>
      <c r="J30" s="187">
        <f t="shared" si="2"/>
        <v>0.88908399932863602</v>
      </c>
      <c r="K30" s="194">
        <f t="shared" si="6"/>
        <v>1.4825446883624105</v>
      </c>
      <c r="L30" s="193">
        <f t="shared" si="3"/>
        <v>-0.59346068903377447</v>
      </c>
      <c r="M30" s="190">
        <f t="shared" si="7"/>
        <v>-4.1112645227558212E-2</v>
      </c>
      <c r="N30" s="191">
        <f t="shared" si="8"/>
        <v>-0.63457333426133267</v>
      </c>
      <c r="O30" s="190">
        <f t="shared" si="9"/>
        <v>0</v>
      </c>
      <c r="P30" s="190">
        <f t="shared" si="10"/>
        <v>0</v>
      </c>
      <c r="Q30" s="190">
        <v>0</v>
      </c>
      <c r="R30" s="191">
        <f t="shared" si="11"/>
        <v>-0.63457333426133267</v>
      </c>
    </row>
    <row r="31" spans="1:18" x14ac:dyDescent="0.25">
      <c r="A31" s="148">
        <v>12</v>
      </c>
      <c r="B31" s="183">
        <f t="shared" si="4"/>
        <v>45261</v>
      </c>
      <c r="C31" s="223">
        <v>45294</v>
      </c>
      <c r="D31" s="224">
        <v>45315</v>
      </c>
      <c r="E31" s="52" t="s">
        <v>21</v>
      </c>
      <c r="F31" s="148">
        <v>9</v>
      </c>
      <c r="G31" s="185">
        <v>2474</v>
      </c>
      <c r="H31" s="195">
        <f t="shared" si="5"/>
        <v>5.8995013464481114E-4</v>
      </c>
      <c r="I31" s="195">
        <f t="shared" si="1"/>
        <v>3.5379387159913887E-4</v>
      </c>
      <c r="J31" s="196">
        <f t="shared" si="2"/>
        <v>0.87528603833626961</v>
      </c>
      <c r="K31" s="197">
        <f t="shared" si="6"/>
        <v>1.4595366331112627</v>
      </c>
      <c r="L31" s="198">
        <f t="shared" si="3"/>
        <v>-0.58425059477499308</v>
      </c>
      <c r="M31" s="190">
        <f t="shared" si="7"/>
        <v>-4.0474605767202153E-2</v>
      </c>
      <c r="N31" s="191">
        <f t="shared" si="8"/>
        <v>-0.62472520054219527</v>
      </c>
      <c r="O31" s="190">
        <f t="shared" si="9"/>
        <v>0</v>
      </c>
      <c r="P31" s="190">
        <f t="shared" si="10"/>
        <v>0</v>
      </c>
      <c r="Q31" s="190">
        <v>0</v>
      </c>
      <c r="R31" s="191">
        <f t="shared" si="11"/>
        <v>-0.62472520054219527</v>
      </c>
    </row>
    <row r="32" spans="1:18" x14ac:dyDescent="0.25">
      <c r="A32" s="111">
        <v>1</v>
      </c>
      <c r="B32" s="199">
        <f t="shared" si="4"/>
        <v>44927</v>
      </c>
      <c r="C32" s="200">
        <f t="shared" ref="C32:D43" si="12">+C20</f>
        <v>44960</v>
      </c>
      <c r="D32" s="200">
        <f t="shared" si="12"/>
        <v>44981</v>
      </c>
      <c r="E32" s="201" t="s">
        <v>22</v>
      </c>
      <c r="F32" s="202">
        <v>9</v>
      </c>
      <c r="G32" s="185">
        <v>2724</v>
      </c>
      <c r="H32" s="186">
        <f>+$K$3</f>
        <v>5.8995013464481114E-4</v>
      </c>
      <c r="I32" s="186">
        <f t="shared" si="1"/>
        <v>3.5379387159913887E-4</v>
      </c>
      <c r="J32" s="187">
        <f t="shared" si="2"/>
        <v>0.96373450623605428</v>
      </c>
      <c r="K32" s="188">
        <f t="shared" si="6"/>
        <v>1.6070241667724656</v>
      </c>
      <c r="L32" s="189">
        <f t="shared" si="3"/>
        <v>-0.64328966053641135</v>
      </c>
      <c r="M32" s="190">
        <f t="shared" si="7"/>
        <v>-4.4564602307946108E-2</v>
      </c>
      <c r="N32" s="191">
        <f t="shared" si="8"/>
        <v>-0.68785426284435747</v>
      </c>
      <c r="O32" s="190">
        <f t="shared" si="9"/>
        <v>0</v>
      </c>
      <c r="P32" s="190">
        <f t="shared" si="10"/>
        <v>0</v>
      </c>
      <c r="Q32" s="190">
        <v>0</v>
      </c>
      <c r="R32" s="191">
        <f t="shared" si="11"/>
        <v>-0.68785426284435747</v>
      </c>
    </row>
    <row r="33" spans="1:18" x14ac:dyDescent="0.25">
      <c r="A33" s="148">
        <v>2</v>
      </c>
      <c r="B33" s="183">
        <f t="shared" si="4"/>
        <v>44958</v>
      </c>
      <c r="C33" s="203">
        <f t="shared" si="12"/>
        <v>44988</v>
      </c>
      <c r="D33" s="203">
        <f t="shared" si="12"/>
        <v>45009</v>
      </c>
      <c r="E33" s="192" t="s">
        <v>22</v>
      </c>
      <c r="F33" s="148">
        <v>9</v>
      </c>
      <c r="G33" s="185">
        <v>2757</v>
      </c>
      <c r="H33" s="186">
        <f t="shared" si="5"/>
        <v>5.8995013464481114E-4</v>
      </c>
      <c r="I33" s="186">
        <f t="shared" si="1"/>
        <v>3.5379387159913887E-4</v>
      </c>
      <c r="J33" s="187">
        <f t="shared" si="2"/>
        <v>0.97540970399882587</v>
      </c>
      <c r="K33" s="188">
        <f t="shared" si="6"/>
        <v>1.6264925212157444</v>
      </c>
      <c r="L33" s="189">
        <f t="shared" si="3"/>
        <v>-0.65108281721691852</v>
      </c>
      <c r="M33" s="190">
        <f t="shared" si="7"/>
        <v>-4.5104481851324305E-2</v>
      </c>
      <c r="N33" s="191">
        <f t="shared" si="8"/>
        <v>-0.69618729906824284</v>
      </c>
      <c r="O33" s="190">
        <f t="shared" si="9"/>
        <v>0</v>
      </c>
      <c r="P33" s="190">
        <f t="shared" si="10"/>
        <v>0</v>
      </c>
      <c r="Q33" s="190">
        <v>0</v>
      </c>
      <c r="R33" s="191">
        <f t="shared" si="11"/>
        <v>-0.69618729906824284</v>
      </c>
    </row>
    <row r="34" spans="1:18" x14ac:dyDescent="0.25">
      <c r="A34" s="148">
        <v>3</v>
      </c>
      <c r="B34" s="183">
        <f t="shared" si="4"/>
        <v>44986</v>
      </c>
      <c r="C34" s="203">
        <f t="shared" si="12"/>
        <v>45021</v>
      </c>
      <c r="D34" s="203">
        <f t="shared" si="12"/>
        <v>45040</v>
      </c>
      <c r="E34" s="192" t="s">
        <v>22</v>
      </c>
      <c r="F34" s="148">
        <v>9</v>
      </c>
      <c r="G34" s="185">
        <v>2641</v>
      </c>
      <c r="H34" s="186">
        <f t="shared" si="5"/>
        <v>5.8995013464481114E-4</v>
      </c>
      <c r="I34" s="186">
        <f t="shared" si="1"/>
        <v>3.5379387159913887E-4</v>
      </c>
      <c r="J34" s="187">
        <f t="shared" si="2"/>
        <v>0.93436961489332571</v>
      </c>
      <c r="K34" s="188">
        <f t="shared" ref="K34:K93" si="13">+$G34*H34</f>
        <v>1.5580583055969461</v>
      </c>
      <c r="L34" s="189">
        <f t="shared" si="3"/>
        <v>-0.62368869070362043</v>
      </c>
      <c r="M34" s="190">
        <f t="shared" si="7"/>
        <v>-4.3206723456419113E-2</v>
      </c>
      <c r="N34" s="191">
        <f t="shared" si="8"/>
        <v>-0.6668954141600395</v>
      </c>
      <c r="O34" s="190">
        <f t="shared" si="9"/>
        <v>0</v>
      </c>
      <c r="P34" s="190">
        <f t="shared" si="10"/>
        <v>0</v>
      </c>
      <c r="Q34" s="190">
        <v>0</v>
      </c>
      <c r="R34" s="191">
        <f t="shared" si="11"/>
        <v>-0.6668954141600395</v>
      </c>
    </row>
    <row r="35" spans="1:18" x14ac:dyDescent="0.25">
      <c r="A35" s="111">
        <v>4</v>
      </c>
      <c r="B35" s="183">
        <f t="shared" si="4"/>
        <v>45017</v>
      </c>
      <c r="C35" s="203">
        <f t="shared" si="12"/>
        <v>45049</v>
      </c>
      <c r="D35" s="203">
        <f t="shared" si="12"/>
        <v>45070</v>
      </c>
      <c r="E35" s="192" t="s">
        <v>22</v>
      </c>
      <c r="F35" s="148">
        <v>9</v>
      </c>
      <c r="G35" s="185">
        <v>2417</v>
      </c>
      <c r="H35" s="186">
        <f t="shared" si="5"/>
        <v>5.8995013464481114E-4</v>
      </c>
      <c r="I35" s="186">
        <f t="shared" si="1"/>
        <v>3.5379387159913887E-4</v>
      </c>
      <c r="J35" s="187">
        <f t="shared" si="2"/>
        <v>0.85511978765511865</v>
      </c>
      <c r="K35" s="188">
        <f t="shared" si="13"/>
        <v>1.4259094754365085</v>
      </c>
      <c r="L35" s="189">
        <f t="shared" ref="L35:L57" si="14">+J35-K35</f>
        <v>-0.57078968778138983</v>
      </c>
      <c r="M35" s="190">
        <f t="shared" si="7"/>
        <v>-3.9542086555912528E-2</v>
      </c>
      <c r="N35" s="191">
        <f t="shared" si="8"/>
        <v>-0.61033177433730235</v>
      </c>
      <c r="O35" s="190">
        <f t="shared" si="9"/>
        <v>0</v>
      </c>
      <c r="P35" s="190">
        <f t="shared" si="10"/>
        <v>0</v>
      </c>
      <c r="Q35" s="190">
        <v>0</v>
      </c>
      <c r="R35" s="191">
        <f t="shared" si="11"/>
        <v>-0.61033177433730235</v>
      </c>
    </row>
    <row r="36" spans="1:18" x14ac:dyDescent="0.25">
      <c r="A36" s="148">
        <v>5</v>
      </c>
      <c r="B36" s="183">
        <f t="shared" si="4"/>
        <v>45047</v>
      </c>
      <c r="C36" s="203">
        <f t="shared" si="12"/>
        <v>45082</v>
      </c>
      <c r="D36" s="203">
        <f t="shared" si="12"/>
        <v>45103</v>
      </c>
      <c r="E36" s="52" t="s">
        <v>22</v>
      </c>
      <c r="F36" s="148">
        <v>9</v>
      </c>
      <c r="G36" s="185">
        <v>2844</v>
      </c>
      <c r="H36" s="186">
        <f t="shared" si="5"/>
        <v>5.8995013464481114E-4</v>
      </c>
      <c r="I36" s="186">
        <f t="shared" si="1"/>
        <v>3.5379387159913887E-4</v>
      </c>
      <c r="J36" s="187">
        <f t="shared" si="2"/>
        <v>1.006189770827951</v>
      </c>
      <c r="K36" s="188">
        <f t="shared" si="13"/>
        <v>1.6778181829298429</v>
      </c>
      <c r="L36" s="189">
        <f t="shared" si="14"/>
        <v>-0.67162841210189184</v>
      </c>
      <c r="M36" s="190">
        <f t="shared" si="7"/>
        <v>-4.6527800647503198E-2</v>
      </c>
      <c r="N36" s="191">
        <f t="shared" si="8"/>
        <v>-0.71815621274939501</v>
      </c>
      <c r="O36" s="190">
        <f t="shared" si="9"/>
        <v>0</v>
      </c>
      <c r="P36" s="190">
        <f t="shared" si="10"/>
        <v>0</v>
      </c>
      <c r="Q36" s="190">
        <v>0</v>
      </c>
      <c r="R36" s="191">
        <f t="shared" si="11"/>
        <v>-0.71815621274939501</v>
      </c>
    </row>
    <row r="37" spans="1:18" x14ac:dyDescent="0.25">
      <c r="A37" s="148">
        <v>6</v>
      </c>
      <c r="B37" s="183">
        <f t="shared" si="4"/>
        <v>45078</v>
      </c>
      <c r="C37" s="203">
        <f t="shared" si="12"/>
        <v>45112</v>
      </c>
      <c r="D37" s="203">
        <f t="shared" si="12"/>
        <v>45131</v>
      </c>
      <c r="E37" s="52" t="s">
        <v>22</v>
      </c>
      <c r="F37" s="148">
        <v>9</v>
      </c>
      <c r="G37" s="185">
        <v>3500</v>
      </c>
      <c r="H37" s="186">
        <f t="shared" si="5"/>
        <v>5.8995013464481114E-4</v>
      </c>
      <c r="I37" s="186">
        <f t="shared" si="1"/>
        <v>3.5379387159913887E-4</v>
      </c>
      <c r="J37" s="187">
        <f t="shared" si="2"/>
        <v>1.238278550596986</v>
      </c>
      <c r="K37" s="188">
        <f t="shared" si="13"/>
        <v>2.0648254712568388</v>
      </c>
      <c r="L37" s="193">
        <f t="shared" si="14"/>
        <v>-0.8265469206598528</v>
      </c>
      <c r="M37" s="190">
        <f t="shared" si="7"/>
        <v>-5.7259951570415329E-2</v>
      </c>
      <c r="N37" s="191">
        <f t="shared" si="8"/>
        <v>-0.8838068722302681</v>
      </c>
      <c r="O37" s="190">
        <f t="shared" si="9"/>
        <v>0</v>
      </c>
      <c r="P37" s="190">
        <f t="shared" si="10"/>
        <v>0</v>
      </c>
      <c r="Q37" s="190">
        <v>0</v>
      </c>
      <c r="R37" s="191">
        <f t="shared" si="11"/>
        <v>-0.8838068722302681</v>
      </c>
    </row>
    <row r="38" spans="1:18" x14ac:dyDescent="0.25">
      <c r="A38" s="111">
        <v>7</v>
      </c>
      <c r="B38" s="183">
        <f t="shared" si="4"/>
        <v>45108</v>
      </c>
      <c r="C38" s="203">
        <f t="shared" si="12"/>
        <v>45141</v>
      </c>
      <c r="D38" s="203">
        <f t="shared" si="12"/>
        <v>45162</v>
      </c>
      <c r="E38" s="52" t="s">
        <v>22</v>
      </c>
      <c r="F38" s="148">
        <v>9</v>
      </c>
      <c r="G38" s="185">
        <v>3569</v>
      </c>
      <c r="H38" s="186">
        <f t="shared" si="5"/>
        <v>5.8995013464481114E-4</v>
      </c>
      <c r="I38" s="186">
        <f t="shared" si="1"/>
        <v>3.5379387159913887E-4</v>
      </c>
      <c r="J38" s="187">
        <f t="shared" si="2"/>
        <v>1.2626903277373267</v>
      </c>
      <c r="K38" s="194">
        <f t="shared" si="13"/>
        <v>2.1055320305473311</v>
      </c>
      <c r="L38" s="193">
        <f t="shared" si="14"/>
        <v>-0.84284170281000437</v>
      </c>
      <c r="M38" s="190">
        <f t="shared" si="7"/>
        <v>-5.8388790615660664E-2</v>
      </c>
      <c r="N38" s="191">
        <f t="shared" si="8"/>
        <v>-0.90123049342566508</v>
      </c>
      <c r="O38" s="190">
        <f t="shared" si="9"/>
        <v>0</v>
      </c>
      <c r="P38" s="190">
        <f t="shared" si="10"/>
        <v>0</v>
      </c>
      <c r="Q38" s="190">
        <v>0</v>
      </c>
      <c r="R38" s="191">
        <f t="shared" si="11"/>
        <v>-0.90123049342566508</v>
      </c>
    </row>
    <row r="39" spans="1:18" x14ac:dyDescent="0.25">
      <c r="A39" s="148">
        <v>8</v>
      </c>
      <c r="B39" s="183">
        <f t="shared" si="4"/>
        <v>45139</v>
      </c>
      <c r="C39" s="203">
        <f t="shared" si="12"/>
        <v>45174</v>
      </c>
      <c r="D39" s="203">
        <f t="shared" si="12"/>
        <v>45194</v>
      </c>
      <c r="E39" s="52" t="s">
        <v>22</v>
      </c>
      <c r="F39" s="148">
        <v>9</v>
      </c>
      <c r="G39" s="185">
        <v>3766</v>
      </c>
      <c r="H39" s="186">
        <f t="shared" si="5"/>
        <v>5.8995013464481114E-4</v>
      </c>
      <c r="I39" s="186">
        <f t="shared" si="1"/>
        <v>3.5379387159913887E-4</v>
      </c>
      <c r="J39" s="187">
        <f t="shared" si="2"/>
        <v>1.3323877204423571</v>
      </c>
      <c r="K39" s="194">
        <f t="shared" si="13"/>
        <v>2.2217522070723588</v>
      </c>
      <c r="L39" s="193">
        <f t="shared" si="14"/>
        <v>-0.88936448663000167</v>
      </c>
      <c r="M39" s="190">
        <f t="shared" si="7"/>
        <v>-6.1611707889766894E-2</v>
      </c>
      <c r="N39" s="191">
        <f t="shared" si="8"/>
        <v>-0.95097619451976856</v>
      </c>
      <c r="O39" s="190">
        <f t="shared" si="9"/>
        <v>0</v>
      </c>
      <c r="P39" s="190">
        <f t="shared" si="10"/>
        <v>0</v>
      </c>
      <c r="Q39" s="190">
        <v>0</v>
      </c>
      <c r="R39" s="191">
        <f t="shared" si="11"/>
        <v>-0.95097619451976856</v>
      </c>
    </row>
    <row r="40" spans="1:18" x14ac:dyDescent="0.25">
      <c r="A40" s="148">
        <v>9</v>
      </c>
      <c r="B40" s="183">
        <f t="shared" si="4"/>
        <v>45170</v>
      </c>
      <c r="C40" s="203">
        <f t="shared" si="12"/>
        <v>45203</v>
      </c>
      <c r="D40" s="203">
        <f t="shared" si="12"/>
        <v>45223</v>
      </c>
      <c r="E40" s="52" t="s">
        <v>22</v>
      </c>
      <c r="F40" s="148">
        <v>9</v>
      </c>
      <c r="G40" s="185">
        <v>3456</v>
      </c>
      <c r="H40" s="186">
        <f t="shared" si="5"/>
        <v>5.8995013464481114E-4</v>
      </c>
      <c r="I40" s="186">
        <f t="shared" si="1"/>
        <v>3.5379387159913887E-4</v>
      </c>
      <c r="J40" s="187">
        <f t="shared" si="2"/>
        <v>1.2227116202466239</v>
      </c>
      <c r="K40" s="194">
        <f t="shared" si="13"/>
        <v>2.0388676653324671</v>
      </c>
      <c r="L40" s="193">
        <f t="shared" si="14"/>
        <v>-0.81615604508584316</v>
      </c>
      <c r="M40" s="190">
        <f t="shared" si="7"/>
        <v>-5.6540112179244401E-2</v>
      </c>
      <c r="N40" s="191">
        <f t="shared" si="8"/>
        <v>-0.87269615726508754</v>
      </c>
      <c r="O40" s="190">
        <f t="shared" si="9"/>
        <v>0</v>
      </c>
      <c r="P40" s="190">
        <f t="shared" si="10"/>
        <v>0</v>
      </c>
      <c r="Q40" s="190">
        <v>0</v>
      </c>
      <c r="R40" s="191">
        <f t="shared" si="11"/>
        <v>-0.87269615726508754</v>
      </c>
    </row>
    <row r="41" spans="1:18" x14ac:dyDescent="0.25">
      <c r="A41" s="111">
        <v>10</v>
      </c>
      <c r="B41" s="183">
        <f t="shared" si="4"/>
        <v>45200</v>
      </c>
      <c r="C41" s="203">
        <f t="shared" si="12"/>
        <v>45233</v>
      </c>
      <c r="D41" s="203">
        <f t="shared" si="12"/>
        <v>45254</v>
      </c>
      <c r="E41" s="52" t="s">
        <v>22</v>
      </c>
      <c r="F41" s="148">
        <v>9</v>
      </c>
      <c r="G41" s="185">
        <v>2810</v>
      </c>
      <c r="H41" s="186">
        <f t="shared" si="5"/>
        <v>5.8995013464481114E-4</v>
      </c>
      <c r="I41" s="186">
        <f t="shared" si="1"/>
        <v>3.5379387159913887E-4</v>
      </c>
      <c r="J41" s="187">
        <f t="shared" si="2"/>
        <v>0.99416077919358026</v>
      </c>
      <c r="K41" s="194">
        <f t="shared" si="13"/>
        <v>1.6577598783519194</v>
      </c>
      <c r="L41" s="193">
        <f t="shared" si="14"/>
        <v>-0.66359909915833915</v>
      </c>
      <c r="M41" s="190">
        <f t="shared" si="7"/>
        <v>-4.5971561117962023E-2</v>
      </c>
      <c r="N41" s="191">
        <f t="shared" si="8"/>
        <v>-0.70957066027630122</v>
      </c>
      <c r="O41" s="190">
        <f t="shared" si="9"/>
        <v>0</v>
      </c>
      <c r="P41" s="190">
        <f t="shared" si="10"/>
        <v>0</v>
      </c>
      <c r="Q41" s="190">
        <v>0</v>
      </c>
      <c r="R41" s="191">
        <f t="shared" si="11"/>
        <v>-0.70957066027630122</v>
      </c>
    </row>
    <row r="42" spans="1:18" x14ac:dyDescent="0.25">
      <c r="A42" s="148">
        <v>11</v>
      </c>
      <c r="B42" s="183">
        <f t="shared" si="4"/>
        <v>45231</v>
      </c>
      <c r="C42" s="203">
        <f t="shared" si="12"/>
        <v>45266</v>
      </c>
      <c r="D42" s="203">
        <f t="shared" si="12"/>
        <v>45285</v>
      </c>
      <c r="E42" s="52" t="s">
        <v>22</v>
      </c>
      <c r="F42" s="148">
        <v>9</v>
      </c>
      <c r="G42" s="185">
        <v>2499</v>
      </c>
      <c r="H42" s="186">
        <f t="shared" si="5"/>
        <v>5.8995013464481114E-4</v>
      </c>
      <c r="I42" s="186">
        <f t="shared" si="1"/>
        <v>3.5379387159913887E-4</v>
      </c>
      <c r="J42" s="187">
        <f t="shared" si="2"/>
        <v>0.88413088512624805</v>
      </c>
      <c r="K42" s="194">
        <f t="shared" si="13"/>
        <v>1.4742853864773831</v>
      </c>
      <c r="L42" s="193">
        <f t="shared" si="14"/>
        <v>-0.59015450135113501</v>
      </c>
      <c r="M42" s="190">
        <f t="shared" si="7"/>
        <v>-4.0883605421276552E-2</v>
      </c>
      <c r="N42" s="191">
        <f t="shared" si="8"/>
        <v>-0.63103810677241157</v>
      </c>
      <c r="O42" s="190">
        <f t="shared" si="9"/>
        <v>0</v>
      </c>
      <c r="P42" s="190">
        <f t="shared" si="10"/>
        <v>0</v>
      </c>
      <c r="Q42" s="190">
        <v>0</v>
      </c>
      <c r="R42" s="191">
        <f t="shared" si="11"/>
        <v>-0.63103810677241157</v>
      </c>
    </row>
    <row r="43" spans="1:18" x14ac:dyDescent="0.25">
      <c r="A43" s="148">
        <v>12</v>
      </c>
      <c r="B43" s="183">
        <f t="shared" si="4"/>
        <v>45261</v>
      </c>
      <c r="C43" s="203">
        <f t="shared" si="12"/>
        <v>45294</v>
      </c>
      <c r="D43" s="203">
        <f t="shared" si="12"/>
        <v>45315</v>
      </c>
      <c r="E43" s="52" t="s">
        <v>22</v>
      </c>
      <c r="F43" s="148">
        <v>9</v>
      </c>
      <c r="G43" s="185">
        <v>2532</v>
      </c>
      <c r="H43" s="195">
        <f t="shared" si="5"/>
        <v>5.8995013464481114E-4</v>
      </c>
      <c r="I43" s="195">
        <f t="shared" si="1"/>
        <v>3.5379387159913887E-4</v>
      </c>
      <c r="J43" s="196">
        <f t="shared" si="2"/>
        <v>0.89580608288901964</v>
      </c>
      <c r="K43" s="197">
        <f t="shared" si="13"/>
        <v>1.4937537409206618</v>
      </c>
      <c r="L43" s="198">
        <f t="shared" si="14"/>
        <v>-0.59794765803164218</v>
      </c>
      <c r="M43" s="190">
        <f t="shared" si="7"/>
        <v>-4.1423484964654748E-2</v>
      </c>
      <c r="N43" s="191">
        <f t="shared" si="8"/>
        <v>-0.63937114299629694</v>
      </c>
      <c r="O43" s="190">
        <f t="shared" si="9"/>
        <v>0</v>
      </c>
      <c r="P43" s="190">
        <f t="shared" si="10"/>
        <v>0</v>
      </c>
      <c r="Q43" s="190">
        <v>0</v>
      </c>
      <c r="R43" s="191">
        <f t="shared" si="11"/>
        <v>-0.63937114299629694</v>
      </c>
    </row>
    <row r="44" spans="1:18" x14ac:dyDescent="0.25">
      <c r="A44" s="111">
        <v>1</v>
      </c>
      <c r="B44" s="199">
        <f t="shared" ref="B44:B55" si="15">DATE($R$1,A44,1)</f>
        <v>44927</v>
      </c>
      <c r="C44" s="200">
        <f t="shared" ref="C44:D55" si="16">+C32</f>
        <v>44960</v>
      </c>
      <c r="D44" s="200">
        <f t="shared" si="16"/>
        <v>44981</v>
      </c>
      <c r="E44" s="201" t="s">
        <v>82</v>
      </c>
      <c r="F44" s="202">
        <v>9</v>
      </c>
      <c r="G44" s="185">
        <v>137</v>
      </c>
      <c r="H44" s="186">
        <f>+$K$3</f>
        <v>5.8995013464481114E-4</v>
      </c>
      <c r="I44" s="186">
        <f t="shared" si="1"/>
        <v>3.5379387159913887E-4</v>
      </c>
      <c r="J44" s="190">
        <f t="shared" ref="J44:J55" si="17">+$G44*I44</f>
        <v>4.8469760409082026E-2</v>
      </c>
      <c r="K44" s="194">
        <f t="shared" ref="K44:K55" si="18">+$G44*H44</f>
        <v>8.0823168446339133E-2</v>
      </c>
      <c r="L44" s="193">
        <f t="shared" ref="L44:L55" si="19">+J44-K44</f>
        <v>-3.2353408037257107E-2</v>
      </c>
      <c r="M44" s="190">
        <f t="shared" si="7"/>
        <v>-2.2413181043276858E-3</v>
      </c>
      <c r="N44" s="191">
        <f t="shared" si="8"/>
        <v>-3.4594726141584792E-2</v>
      </c>
      <c r="O44" s="190">
        <f t="shared" si="9"/>
        <v>0</v>
      </c>
      <c r="P44" s="190">
        <f t="shared" si="10"/>
        <v>0</v>
      </c>
      <c r="Q44" s="190">
        <v>0</v>
      </c>
      <c r="R44" s="191">
        <f t="shared" si="11"/>
        <v>-3.4594726141584792E-2</v>
      </c>
    </row>
    <row r="45" spans="1:18" x14ac:dyDescent="0.25">
      <c r="A45" s="148">
        <v>2</v>
      </c>
      <c r="B45" s="183">
        <f t="shared" si="15"/>
        <v>44958</v>
      </c>
      <c r="C45" s="203">
        <f t="shared" si="16"/>
        <v>44988</v>
      </c>
      <c r="D45" s="203">
        <f t="shared" si="16"/>
        <v>45009</v>
      </c>
      <c r="E45" s="192" t="s">
        <v>82</v>
      </c>
      <c r="F45" s="148">
        <v>9</v>
      </c>
      <c r="G45" s="185">
        <v>132</v>
      </c>
      <c r="H45" s="186">
        <f t="shared" si="5"/>
        <v>5.8995013464481114E-4</v>
      </c>
      <c r="I45" s="186">
        <f t="shared" si="1"/>
        <v>3.5379387159913887E-4</v>
      </c>
      <c r="J45" s="190">
        <f t="shared" si="17"/>
        <v>4.6700791051086328E-2</v>
      </c>
      <c r="K45" s="194">
        <f t="shared" si="18"/>
        <v>7.7873417773115072E-2</v>
      </c>
      <c r="L45" s="193">
        <f t="shared" si="19"/>
        <v>-3.1172626722028744E-2</v>
      </c>
      <c r="M45" s="190">
        <f t="shared" si="7"/>
        <v>-2.159518173512807E-3</v>
      </c>
      <c r="N45" s="191">
        <f t="shared" si="8"/>
        <v>-3.3332144895541552E-2</v>
      </c>
      <c r="O45" s="190">
        <f t="shared" si="9"/>
        <v>0</v>
      </c>
      <c r="P45" s="190">
        <f t="shared" si="10"/>
        <v>0</v>
      </c>
      <c r="Q45" s="190">
        <v>0</v>
      </c>
      <c r="R45" s="191">
        <f t="shared" si="11"/>
        <v>-3.3332144895541552E-2</v>
      </c>
    </row>
    <row r="46" spans="1:18" x14ac:dyDescent="0.25">
      <c r="A46" s="148">
        <v>3</v>
      </c>
      <c r="B46" s="183">
        <f t="shared" si="15"/>
        <v>44986</v>
      </c>
      <c r="C46" s="203">
        <f t="shared" si="16"/>
        <v>45021</v>
      </c>
      <c r="D46" s="203">
        <f t="shared" si="16"/>
        <v>45040</v>
      </c>
      <c r="E46" s="192" t="s">
        <v>82</v>
      </c>
      <c r="F46" s="148">
        <v>9</v>
      </c>
      <c r="G46" s="185">
        <v>148</v>
      </c>
      <c r="H46" s="186">
        <f t="shared" si="5"/>
        <v>5.8995013464481114E-4</v>
      </c>
      <c r="I46" s="186">
        <f t="shared" si="1"/>
        <v>3.5379387159913887E-4</v>
      </c>
      <c r="J46" s="190">
        <f t="shared" si="17"/>
        <v>5.2361492996672553E-2</v>
      </c>
      <c r="K46" s="194">
        <f t="shared" si="18"/>
        <v>8.7312619927432056E-2</v>
      </c>
      <c r="L46" s="193">
        <f t="shared" si="19"/>
        <v>-3.4951126930759503E-2</v>
      </c>
      <c r="M46" s="190">
        <f t="shared" si="7"/>
        <v>-2.4212779521204197E-3</v>
      </c>
      <c r="N46" s="191">
        <f t="shared" si="8"/>
        <v>-3.737240488287992E-2</v>
      </c>
      <c r="O46" s="190">
        <f t="shared" si="9"/>
        <v>0</v>
      </c>
      <c r="P46" s="190">
        <f t="shared" si="10"/>
        <v>0</v>
      </c>
      <c r="Q46" s="190">
        <v>0</v>
      </c>
      <c r="R46" s="191">
        <f t="shared" si="11"/>
        <v>-3.737240488287992E-2</v>
      </c>
    </row>
    <row r="47" spans="1:18" x14ac:dyDescent="0.25">
      <c r="A47" s="111">
        <v>4</v>
      </c>
      <c r="B47" s="183">
        <f t="shared" si="15"/>
        <v>45017</v>
      </c>
      <c r="C47" s="203">
        <f t="shared" si="16"/>
        <v>45049</v>
      </c>
      <c r="D47" s="203">
        <f t="shared" si="16"/>
        <v>45070</v>
      </c>
      <c r="E47" s="192" t="s">
        <v>82</v>
      </c>
      <c r="F47" s="148">
        <v>9</v>
      </c>
      <c r="G47" s="185">
        <v>92</v>
      </c>
      <c r="H47" s="186">
        <f t="shared" si="5"/>
        <v>5.8995013464481114E-4</v>
      </c>
      <c r="I47" s="186">
        <f t="shared" si="1"/>
        <v>3.5379387159913887E-4</v>
      </c>
      <c r="J47" s="190">
        <f t="shared" si="17"/>
        <v>3.2549036187120774E-2</v>
      </c>
      <c r="K47" s="194">
        <f t="shared" si="18"/>
        <v>5.4275412387322627E-2</v>
      </c>
      <c r="L47" s="193">
        <f t="shared" si="19"/>
        <v>-2.1726376200201854E-2</v>
      </c>
      <c r="M47" s="190">
        <f t="shared" si="7"/>
        <v>-1.5051187269937744E-3</v>
      </c>
      <c r="N47" s="191">
        <f t="shared" si="8"/>
        <v>-2.3231494927195628E-2</v>
      </c>
      <c r="O47" s="190">
        <f t="shared" si="9"/>
        <v>0</v>
      </c>
      <c r="P47" s="190">
        <f t="shared" si="10"/>
        <v>0</v>
      </c>
      <c r="Q47" s="190">
        <v>0</v>
      </c>
      <c r="R47" s="191">
        <f t="shared" si="11"/>
        <v>-2.3231494927195628E-2</v>
      </c>
    </row>
    <row r="48" spans="1:18" x14ac:dyDescent="0.25">
      <c r="A48" s="148">
        <v>5</v>
      </c>
      <c r="B48" s="183">
        <f t="shared" si="15"/>
        <v>45047</v>
      </c>
      <c r="C48" s="203">
        <f t="shared" si="16"/>
        <v>45082</v>
      </c>
      <c r="D48" s="203">
        <f t="shared" si="16"/>
        <v>45103</v>
      </c>
      <c r="E48" s="192" t="s">
        <v>82</v>
      </c>
      <c r="F48" s="148">
        <v>9</v>
      </c>
      <c r="G48" s="185">
        <v>104</v>
      </c>
      <c r="H48" s="186">
        <f t="shared" si="5"/>
        <v>5.8995013464481114E-4</v>
      </c>
      <c r="I48" s="186">
        <f t="shared" si="1"/>
        <v>3.5379387159913887E-4</v>
      </c>
      <c r="J48" s="190">
        <f t="shared" si="17"/>
        <v>3.6794562646310446E-2</v>
      </c>
      <c r="K48" s="194">
        <f t="shared" si="18"/>
        <v>6.1354814003060358E-2</v>
      </c>
      <c r="L48" s="193">
        <f t="shared" si="19"/>
        <v>-2.4560251356749913E-2</v>
      </c>
      <c r="M48" s="190">
        <f t="shared" si="7"/>
        <v>-1.7014385609494839E-3</v>
      </c>
      <c r="N48" s="191">
        <f t="shared" si="8"/>
        <v>-2.6261689917699397E-2</v>
      </c>
      <c r="O48" s="190">
        <f t="shared" si="9"/>
        <v>0</v>
      </c>
      <c r="P48" s="190">
        <f t="shared" si="10"/>
        <v>0</v>
      </c>
      <c r="Q48" s="190">
        <v>0</v>
      </c>
      <c r="R48" s="191">
        <f t="shared" si="11"/>
        <v>-2.6261689917699397E-2</v>
      </c>
    </row>
    <row r="49" spans="1:18" x14ac:dyDescent="0.25">
      <c r="A49" s="148">
        <v>6</v>
      </c>
      <c r="B49" s="183">
        <f t="shared" si="15"/>
        <v>45078</v>
      </c>
      <c r="C49" s="203">
        <f t="shared" si="16"/>
        <v>45112</v>
      </c>
      <c r="D49" s="203">
        <f t="shared" si="16"/>
        <v>45131</v>
      </c>
      <c r="E49" s="192" t="s">
        <v>82</v>
      </c>
      <c r="F49" s="148">
        <v>9</v>
      </c>
      <c r="G49" s="185">
        <v>156</v>
      </c>
      <c r="H49" s="186">
        <f t="shared" si="5"/>
        <v>5.8995013464481114E-4</v>
      </c>
      <c r="I49" s="186">
        <f t="shared" si="1"/>
        <v>3.5379387159913887E-4</v>
      </c>
      <c r="J49" s="190">
        <f t="shared" si="17"/>
        <v>5.5191843969465665E-2</v>
      </c>
      <c r="K49" s="194">
        <f t="shared" si="18"/>
        <v>9.2032221004590534E-2</v>
      </c>
      <c r="L49" s="193">
        <f t="shared" si="19"/>
        <v>-3.6840377035124869E-2</v>
      </c>
      <c r="M49" s="190">
        <f t="shared" si="7"/>
        <v>-2.5521578414242265E-3</v>
      </c>
      <c r="N49" s="191">
        <f t="shared" si="8"/>
        <v>-3.9392534876549097E-2</v>
      </c>
      <c r="O49" s="190">
        <f t="shared" si="9"/>
        <v>0</v>
      </c>
      <c r="P49" s="190">
        <f t="shared" si="10"/>
        <v>0</v>
      </c>
      <c r="Q49" s="190">
        <v>0</v>
      </c>
      <c r="R49" s="191">
        <f t="shared" si="11"/>
        <v>-3.9392534876549097E-2</v>
      </c>
    </row>
    <row r="50" spans="1:18" x14ac:dyDescent="0.25">
      <c r="A50" s="111">
        <v>7</v>
      </c>
      <c r="B50" s="183">
        <f t="shared" si="15"/>
        <v>45108</v>
      </c>
      <c r="C50" s="203">
        <f t="shared" si="16"/>
        <v>45141</v>
      </c>
      <c r="D50" s="203">
        <f t="shared" si="16"/>
        <v>45162</v>
      </c>
      <c r="E50" s="192" t="s">
        <v>82</v>
      </c>
      <c r="F50" s="148">
        <v>9</v>
      </c>
      <c r="G50" s="185">
        <v>155</v>
      </c>
      <c r="H50" s="186">
        <f t="shared" si="5"/>
        <v>5.8995013464481114E-4</v>
      </c>
      <c r="I50" s="186">
        <f t="shared" si="1"/>
        <v>3.5379387159913887E-4</v>
      </c>
      <c r="J50" s="190">
        <f t="shared" si="17"/>
        <v>5.4838050097866527E-2</v>
      </c>
      <c r="K50" s="194">
        <f t="shared" si="18"/>
        <v>9.1442270869945733E-2</v>
      </c>
      <c r="L50" s="193">
        <f t="shared" si="19"/>
        <v>-3.6604220772079206E-2</v>
      </c>
      <c r="M50" s="190">
        <f t="shared" si="7"/>
        <v>-2.5357978552612505E-3</v>
      </c>
      <c r="N50" s="191">
        <f t="shared" si="8"/>
        <v>-3.9140018627340456E-2</v>
      </c>
      <c r="O50" s="190">
        <f t="shared" si="9"/>
        <v>0</v>
      </c>
      <c r="P50" s="190">
        <f t="shared" si="10"/>
        <v>0</v>
      </c>
      <c r="Q50" s="190">
        <v>0</v>
      </c>
      <c r="R50" s="191">
        <f t="shared" si="11"/>
        <v>-3.9140018627340456E-2</v>
      </c>
    </row>
    <row r="51" spans="1:18" x14ac:dyDescent="0.25">
      <c r="A51" s="148">
        <v>8</v>
      </c>
      <c r="B51" s="183">
        <f t="shared" si="15"/>
        <v>45139</v>
      </c>
      <c r="C51" s="203">
        <f t="shared" si="16"/>
        <v>45174</v>
      </c>
      <c r="D51" s="203">
        <f t="shared" si="16"/>
        <v>45194</v>
      </c>
      <c r="E51" s="192" t="s">
        <v>82</v>
      </c>
      <c r="F51" s="148">
        <v>9</v>
      </c>
      <c r="G51" s="185">
        <v>159</v>
      </c>
      <c r="H51" s="186">
        <f t="shared" si="5"/>
        <v>5.8995013464481114E-4</v>
      </c>
      <c r="I51" s="186">
        <f t="shared" si="1"/>
        <v>3.5379387159913887E-4</v>
      </c>
      <c r="J51" s="190">
        <f t="shared" si="17"/>
        <v>5.6253225584263079E-2</v>
      </c>
      <c r="K51" s="194">
        <f t="shared" si="18"/>
        <v>9.3802071408524978E-2</v>
      </c>
      <c r="L51" s="193">
        <f t="shared" si="19"/>
        <v>-3.7548845824261899E-2</v>
      </c>
      <c r="M51" s="190">
        <f t="shared" si="7"/>
        <v>-2.6012377999131537E-3</v>
      </c>
      <c r="N51" s="191">
        <f t="shared" si="8"/>
        <v>-4.0150083624175055E-2</v>
      </c>
      <c r="O51" s="190">
        <f t="shared" si="9"/>
        <v>0</v>
      </c>
      <c r="P51" s="190">
        <f t="shared" si="10"/>
        <v>0</v>
      </c>
      <c r="Q51" s="190">
        <v>0</v>
      </c>
      <c r="R51" s="191">
        <f t="shared" si="11"/>
        <v>-4.0150083624175055E-2</v>
      </c>
    </row>
    <row r="52" spans="1:18" x14ac:dyDescent="0.25">
      <c r="A52" s="148">
        <v>9</v>
      </c>
      <c r="B52" s="183">
        <f t="shared" si="15"/>
        <v>45170</v>
      </c>
      <c r="C52" s="203">
        <f t="shared" si="16"/>
        <v>45203</v>
      </c>
      <c r="D52" s="203">
        <f t="shared" si="16"/>
        <v>45223</v>
      </c>
      <c r="E52" s="192" t="s">
        <v>82</v>
      </c>
      <c r="F52" s="148">
        <v>9</v>
      </c>
      <c r="G52" s="185">
        <v>144</v>
      </c>
      <c r="H52" s="186">
        <f t="shared" si="5"/>
        <v>5.8995013464481114E-4</v>
      </c>
      <c r="I52" s="186">
        <f t="shared" si="1"/>
        <v>3.5379387159913887E-4</v>
      </c>
      <c r="J52" s="190">
        <f t="shared" si="17"/>
        <v>5.0946317510276E-2</v>
      </c>
      <c r="K52" s="194">
        <f t="shared" si="18"/>
        <v>8.495281938885281E-2</v>
      </c>
      <c r="L52" s="193">
        <f t="shared" si="19"/>
        <v>-3.400650187857681E-2</v>
      </c>
      <c r="M52" s="190">
        <f t="shared" si="7"/>
        <v>-2.3558380074685165E-3</v>
      </c>
      <c r="N52" s="191">
        <f t="shared" si="8"/>
        <v>-3.6362339886045328E-2</v>
      </c>
      <c r="O52" s="190">
        <f t="shared" si="9"/>
        <v>0</v>
      </c>
      <c r="P52" s="190">
        <f t="shared" si="10"/>
        <v>0</v>
      </c>
      <c r="Q52" s="190">
        <v>0</v>
      </c>
      <c r="R52" s="191">
        <f t="shared" si="11"/>
        <v>-3.6362339886045328E-2</v>
      </c>
    </row>
    <row r="53" spans="1:18" x14ac:dyDescent="0.25">
      <c r="A53" s="111">
        <v>10</v>
      </c>
      <c r="B53" s="183">
        <f t="shared" si="15"/>
        <v>45200</v>
      </c>
      <c r="C53" s="203">
        <f t="shared" si="16"/>
        <v>45233</v>
      </c>
      <c r="D53" s="203">
        <f t="shared" si="16"/>
        <v>45254</v>
      </c>
      <c r="E53" s="192" t="s">
        <v>82</v>
      </c>
      <c r="F53" s="148">
        <v>9</v>
      </c>
      <c r="G53" s="185">
        <v>117</v>
      </c>
      <c r="H53" s="186">
        <f t="shared" si="5"/>
        <v>5.8995013464481114E-4</v>
      </c>
      <c r="I53" s="186">
        <f t="shared" si="1"/>
        <v>3.5379387159913887E-4</v>
      </c>
      <c r="J53" s="190">
        <f t="shared" si="17"/>
        <v>4.1393882977099249E-2</v>
      </c>
      <c r="K53" s="194">
        <f t="shared" si="18"/>
        <v>6.9024165753442904E-2</v>
      </c>
      <c r="L53" s="193">
        <f t="shared" si="19"/>
        <v>-2.7630282776343655E-2</v>
      </c>
      <c r="M53" s="190">
        <f t="shared" si="7"/>
        <v>-1.9141183810681699E-3</v>
      </c>
      <c r="N53" s="191">
        <f t="shared" si="8"/>
        <v>-2.9544401157411825E-2</v>
      </c>
      <c r="O53" s="190">
        <f t="shared" si="9"/>
        <v>0</v>
      </c>
      <c r="P53" s="190">
        <f t="shared" si="10"/>
        <v>0</v>
      </c>
      <c r="Q53" s="190">
        <v>0</v>
      </c>
      <c r="R53" s="191">
        <f t="shared" si="11"/>
        <v>-2.9544401157411825E-2</v>
      </c>
    </row>
    <row r="54" spans="1:18" x14ac:dyDescent="0.25">
      <c r="A54" s="148">
        <v>11</v>
      </c>
      <c r="B54" s="183">
        <f t="shared" si="15"/>
        <v>45231</v>
      </c>
      <c r="C54" s="203">
        <f t="shared" si="16"/>
        <v>45266</v>
      </c>
      <c r="D54" s="203">
        <f t="shared" si="16"/>
        <v>45285</v>
      </c>
      <c r="E54" s="192" t="s">
        <v>82</v>
      </c>
      <c r="F54" s="148">
        <v>9</v>
      </c>
      <c r="G54" s="185">
        <v>134</v>
      </c>
      <c r="H54" s="186">
        <f t="shared" si="5"/>
        <v>5.8995013464481114E-4</v>
      </c>
      <c r="I54" s="186">
        <f t="shared" si="1"/>
        <v>3.5379387159913887E-4</v>
      </c>
      <c r="J54" s="190">
        <f t="shared" si="17"/>
        <v>4.7408378794284611E-2</v>
      </c>
      <c r="K54" s="194">
        <f t="shared" si="18"/>
        <v>7.9053318042404688E-2</v>
      </c>
      <c r="L54" s="193">
        <f t="shared" si="19"/>
        <v>-3.1644939248120077E-2</v>
      </c>
      <c r="M54" s="190">
        <f t="shared" si="7"/>
        <v>-2.1922381458387586E-3</v>
      </c>
      <c r="N54" s="191">
        <f t="shared" si="8"/>
        <v>-3.3837177393958834E-2</v>
      </c>
      <c r="O54" s="190">
        <f t="shared" si="9"/>
        <v>0</v>
      </c>
      <c r="P54" s="190">
        <f t="shared" si="10"/>
        <v>0</v>
      </c>
      <c r="Q54" s="190">
        <v>0</v>
      </c>
      <c r="R54" s="191">
        <f t="shared" si="11"/>
        <v>-3.3837177393958834E-2</v>
      </c>
    </row>
    <row r="55" spans="1:18" x14ac:dyDescent="0.25">
      <c r="A55" s="148">
        <v>12</v>
      </c>
      <c r="B55" s="183">
        <f t="shared" si="15"/>
        <v>45261</v>
      </c>
      <c r="C55" s="203">
        <f t="shared" si="16"/>
        <v>45294</v>
      </c>
      <c r="D55" s="203">
        <f t="shared" si="16"/>
        <v>45315</v>
      </c>
      <c r="E55" s="192" t="s">
        <v>82</v>
      </c>
      <c r="F55" s="148">
        <v>9</v>
      </c>
      <c r="G55" s="185">
        <v>145</v>
      </c>
      <c r="H55" s="195">
        <f t="shared" si="5"/>
        <v>5.8995013464481114E-4</v>
      </c>
      <c r="I55" s="195">
        <f t="shared" si="1"/>
        <v>3.5379387159913887E-4</v>
      </c>
      <c r="J55" s="196">
        <f t="shared" si="17"/>
        <v>5.1300111381875138E-2</v>
      </c>
      <c r="K55" s="197">
        <f t="shared" si="18"/>
        <v>8.5542769523497611E-2</v>
      </c>
      <c r="L55" s="198">
        <f t="shared" si="19"/>
        <v>-3.4242658141622473E-2</v>
      </c>
      <c r="M55" s="190">
        <f t="shared" si="7"/>
        <v>-2.3721979936314926E-3</v>
      </c>
      <c r="N55" s="191">
        <f t="shared" si="8"/>
        <v>-3.6614856135253962E-2</v>
      </c>
      <c r="O55" s="190">
        <f t="shared" si="9"/>
        <v>0</v>
      </c>
      <c r="P55" s="190">
        <f t="shared" si="10"/>
        <v>0</v>
      </c>
      <c r="Q55" s="190">
        <v>0</v>
      </c>
      <c r="R55" s="191">
        <f t="shared" si="11"/>
        <v>-3.6614856135253962E-2</v>
      </c>
    </row>
    <row r="56" spans="1:18" s="204" customFormat="1" x14ac:dyDescent="0.25">
      <c r="A56" s="111">
        <v>1</v>
      </c>
      <c r="B56" s="199">
        <f t="shared" si="4"/>
        <v>44927</v>
      </c>
      <c r="C56" s="200">
        <f t="shared" ref="C56:D67" si="20">+C32</f>
        <v>44960</v>
      </c>
      <c r="D56" s="200">
        <f t="shared" si="20"/>
        <v>44981</v>
      </c>
      <c r="E56" s="201" t="s">
        <v>14</v>
      </c>
      <c r="F56" s="202">
        <v>9</v>
      </c>
      <c r="G56" s="185">
        <v>828</v>
      </c>
      <c r="H56" s="186">
        <f>+$K$3</f>
        <v>5.8995013464481114E-4</v>
      </c>
      <c r="I56" s="186">
        <f t="shared" si="1"/>
        <v>3.5379387159913887E-4</v>
      </c>
      <c r="J56" s="187">
        <f t="shared" si="2"/>
        <v>0.29294132568408698</v>
      </c>
      <c r="K56" s="188">
        <f t="shared" si="13"/>
        <v>0.48847871148590361</v>
      </c>
      <c r="L56" s="189">
        <f t="shared" si="14"/>
        <v>-0.19553738580181662</v>
      </c>
      <c r="M56" s="190">
        <f t="shared" si="7"/>
        <v>-1.3546068542943971E-2</v>
      </c>
      <c r="N56" s="191">
        <f t="shared" si="8"/>
        <v>-0.20908345434476058</v>
      </c>
      <c r="O56" s="190">
        <f t="shared" si="9"/>
        <v>0</v>
      </c>
      <c r="P56" s="190">
        <f t="shared" si="10"/>
        <v>0</v>
      </c>
      <c r="Q56" s="190">
        <v>0</v>
      </c>
      <c r="R56" s="191">
        <f t="shared" si="11"/>
        <v>-0.20908345434476058</v>
      </c>
    </row>
    <row r="57" spans="1:18" x14ac:dyDescent="0.25">
      <c r="A57" s="148">
        <v>2</v>
      </c>
      <c r="B57" s="183">
        <f t="shared" si="4"/>
        <v>44958</v>
      </c>
      <c r="C57" s="203">
        <f t="shared" si="20"/>
        <v>44988</v>
      </c>
      <c r="D57" s="203">
        <f t="shared" si="20"/>
        <v>45009</v>
      </c>
      <c r="E57" s="192" t="s">
        <v>14</v>
      </c>
      <c r="F57" s="148">
        <v>9</v>
      </c>
      <c r="G57" s="185">
        <v>786</v>
      </c>
      <c r="H57" s="186">
        <f t="shared" si="5"/>
        <v>5.8995013464481114E-4</v>
      </c>
      <c r="I57" s="186">
        <f t="shared" si="1"/>
        <v>3.5379387159913887E-4</v>
      </c>
      <c r="J57" s="187">
        <f t="shared" si="2"/>
        <v>0.27808198307692317</v>
      </c>
      <c r="K57" s="188">
        <f t="shared" si="13"/>
        <v>0.46370080583082157</v>
      </c>
      <c r="L57" s="189">
        <f t="shared" si="14"/>
        <v>-0.1856188227538984</v>
      </c>
      <c r="M57" s="190">
        <f t="shared" si="7"/>
        <v>-1.2858949124098986E-2</v>
      </c>
      <c r="N57" s="191">
        <f t="shared" si="8"/>
        <v>-0.19847777187799739</v>
      </c>
      <c r="O57" s="190">
        <f t="shared" si="9"/>
        <v>0</v>
      </c>
      <c r="P57" s="190">
        <f t="shared" si="10"/>
        <v>0</v>
      </c>
      <c r="Q57" s="190">
        <v>0</v>
      </c>
      <c r="R57" s="191">
        <f t="shared" si="11"/>
        <v>-0.19847777187799739</v>
      </c>
    </row>
    <row r="58" spans="1:18" x14ac:dyDescent="0.25">
      <c r="A58" s="148">
        <v>3</v>
      </c>
      <c r="B58" s="183">
        <f t="shared" si="4"/>
        <v>44986</v>
      </c>
      <c r="C58" s="203">
        <f t="shared" si="20"/>
        <v>45021</v>
      </c>
      <c r="D58" s="203">
        <f t="shared" si="20"/>
        <v>45040</v>
      </c>
      <c r="E58" s="192" t="s">
        <v>14</v>
      </c>
      <c r="F58" s="148">
        <v>9</v>
      </c>
      <c r="G58" s="185">
        <v>702</v>
      </c>
      <c r="H58" s="186">
        <f t="shared" si="5"/>
        <v>5.8995013464481114E-4</v>
      </c>
      <c r="I58" s="186">
        <f t="shared" si="1"/>
        <v>3.5379387159913887E-4</v>
      </c>
      <c r="J58" s="187">
        <f t="shared" si="2"/>
        <v>0.24836329786259548</v>
      </c>
      <c r="K58" s="188">
        <f t="shared" si="13"/>
        <v>0.41414499452065745</v>
      </c>
      <c r="L58" s="189">
        <f>+J58-K58</f>
        <v>-0.16578169665806197</v>
      </c>
      <c r="M58" s="190">
        <f t="shared" si="7"/>
        <v>-1.1484710286409018E-2</v>
      </c>
      <c r="N58" s="191">
        <f t="shared" si="8"/>
        <v>-0.17726640694447099</v>
      </c>
      <c r="O58" s="190">
        <f t="shared" si="9"/>
        <v>0</v>
      </c>
      <c r="P58" s="190">
        <f t="shared" si="10"/>
        <v>0</v>
      </c>
      <c r="Q58" s="190">
        <v>0</v>
      </c>
      <c r="R58" s="191">
        <f t="shared" si="11"/>
        <v>-0.17726640694447099</v>
      </c>
    </row>
    <row r="59" spans="1:18" x14ac:dyDescent="0.25">
      <c r="A59" s="111">
        <v>4</v>
      </c>
      <c r="B59" s="183">
        <f t="shared" si="4"/>
        <v>45017</v>
      </c>
      <c r="C59" s="203">
        <f t="shared" si="20"/>
        <v>45049</v>
      </c>
      <c r="D59" s="203">
        <f t="shared" si="20"/>
        <v>45070</v>
      </c>
      <c r="E59" s="192" t="s">
        <v>14</v>
      </c>
      <c r="F59" s="148">
        <v>9</v>
      </c>
      <c r="G59" s="185">
        <v>519</v>
      </c>
      <c r="H59" s="186">
        <f t="shared" si="5"/>
        <v>5.8995013464481114E-4</v>
      </c>
      <c r="I59" s="186">
        <f t="shared" si="1"/>
        <v>3.5379387159913887E-4</v>
      </c>
      <c r="J59" s="187">
        <f t="shared" si="2"/>
        <v>0.18361901935995306</v>
      </c>
      <c r="K59" s="188">
        <f t="shared" si="13"/>
        <v>0.30618411988065697</v>
      </c>
      <c r="L59" s="189">
        <f t="shared" ref="L59:L81" si="21">+J59-K59</f>
        <v>-0.12256510052070391</v>
      </c>
      <c r="M59" s="190">
        <f t="shared" si="7"/>
        <v>-8.4908328185844453E-3</v>
      </c>
      <c r="N59" s="191">
        <f t="shared" si="8"/>
        <v>-0.13105593333928836</v>
      </c>
      <c r="O59" s="190">
        <f t="shared" si="9"/>
        <v>0</v>
      </c>
      <c r="P59" s="190">
        <f t="shared" si="10"/>
        <v>0</v>
      </c>
      <c r="Q59" s="190">
        <v>0</v>
      </c>
      <c r="R59" s="191">
        <f t="shared" si="11"/>
        <v>-0.13105593333928836</v>
      </c>
    </row>
    <row r="60" spans="1:18" x14ac:dyDescent="0.25">
      <c r="A60" s="148">
        <v>5</v>
      </c>
      <c r="B60" s="183">
        <f t="shared" si="4"/>
        <v>45047</v>
      </c>
      <c r="C60" s="203">
        <f t="shared" si="20"/>
        <v>45082</v>
      </c>
      <c r="D60" s="203">
        <f t="shared" si="20"/>
        <v>45103</v>
      </c>
      <c r="E60" s="52" t="s">
        <v>14</v>
      </c>
      <c r="F60" s="148">
        <v>9</v>
      </c>
      <c r="G60" s="185">
        <v>720</v>
      </c>
      <c r="H60" s="186">
        <f t="shared" si="5"/>
        <v>5.8995013464481114E-4</v>
      </c>
      <c r="I60" s="186">
        <f t="shared" si="1"/>
        <v>3.5379387159913887E-4</v>
      </c>
      <c r="J60" s="187">
        <f t="shared" si="2"/>
        <v>0.25473158755137998</v>
      </c>
      <c r="K60" s="188">
        <f t="shared" si="13"/>
        <v>0.42476409694426404</v>
      </c>
      <c r="L60" s="189">
        <f t="shared" si="21"/>
        <v>-0.17003250939288406</v>
      </c>
      <c r="M60" s="190">
        <f t="shared" si="7"/>
        <v>-1.1779190037342582E-2</v>
      </c>
      <c r="N60" s="191">
        <f t="shared" si="8"/>
        <v>-0.18181169943022663</v>
      </c>
      <c r="O60" s="190">
        <f t="shared" si="9"/>
        <v>0</v>
      </c>
      <c r="P60" s="190">
        <f t="shared" si="10"/>
        <v>0</v>
      </c>
      <c r="Q60" s="190">
        <v>0</v>
      </c>
      <c r="R60" s="191">
        <f t="shared" si="11"/>
        <v>-0.18181169943022663</v>
      </c>
    </row>
    <row r="61" spans="1:18" x14ac:dyDescent="0.25">
      <c r="A61" s="148">
        <v>6</v>
      </c>
      <c r="B61" s="183">
        <f t="shared" si="4"/>
        <v>45078</v>
      </c>
      <c r="C61" s="203">
        <f t="shared" si="20"/>
        <v>45112</v>
      </c>
      <c r="D61" s="203">
        <f t="shared" si="20"/>
        <v>45131</v>
      </c>
      <c r="E61" s="52" t="s">
        <v>14</v>
      </c>
      <c r="F61" s="148">
        <v>9</v>
      </c>
      <c r="G61" s="185">
        <v>975</v>
      </c>
      <c r="H61" s="186">
        <f t="shared" si="5"/>
        <v>5.8995013464481114E-4</v>
      </c>
      <c r="I61" s="186">
        <f t="shared" si="1"/>
        <v>3.5379387159913887E-4</v>
      </c>
      <c r="J61" s="187">
        <f t="shared" si="2"/>
        <v>0.3449490248091604</v>
      </c>
      <c r="K61" s="188">
        <f t="shared" si="13"/>
        <v>0.57520138127869092</v>
      </c>
      <c r="L61" s="193">
        <f t="shared" si="21"/>
        <v>-0.23025235646953052</v>
      </c>
      <c r="M61" s="190">
        <f t="shared" si="7"/>
        <v>-1.5950986508901414E-2</v>
      </c>
      <c r="N61" s="191">
        <f t="shared" si="8"/>
        <v>-0.24620334297843194</v>
      </c>
      <c r="O61" s="190">
        <f t="shared" si="9"/>
        <v>0</v>
      </c>
      <c r="P61" s="190">
        <f t="shared" si="10"/>
        <v>0</v>
      </c>
      <c r="Q61" s="190">
        <v>0</v>
      </c>
      <c r="R61" s="191">
        <f t="shared" si="11"/>
        <v>-0.24620334297843194</v>
      </c>
    </row>
    <row r="62" spans="1:18" x14ac:dyDescent="0.25">
      <c r="A62" s="111">
        <v>7</v>
      </c>
      <c r="B62" s="183">
        <f t="shared" si="4"/>
        <v>45108</v>
      </c>
      <c r="C62" s="203">
        <f t="shared" si="20"/>
        <v>45141</v>
      </c>
      <c r="D62" s="203">
        <f t="shared" si="20"/>
        <v>45162</v>
      </c>
      <c r="E62" s="52" t="s">
        <v>14</v>
      </c>
      <c r="F62" s="148">
        <v>9</v>
      </c>
      <c r="G62" s="185">
        <v>924</v>
      </c>
      <c r="H62" s="186">
        <f t="shared" si="5"/>
        <v>5.8995013464481114E-4</v>
      </c>
      <c r="I62" s="186">
        <f t="shared" si="1"/>
        <v>3.5379387159913887E-4</v>
      </c>
      <c r="J62" s="187">
        <f t="shared" si="2"/>
        <v>0.3269055373576043</v>
      </c>
      <c r="K62" s="194">
        <f t="shared" si="13"/>
        <v>0.54511392441180551</v>
      </c>
      <c r="L62" s="193">
        <f t="shared" si="21"/>
        <v>-0.2182083870542012</v>
      </c>
      <c r="M62" s="190">
        <f t="shared" si="7"/>
        <v>-1.5116627214589647E-2</v>
      </c>
      <c r="N62" s="191">
        <f t="shared" si="8"/>
        <v>-0.23332501426879085</v>
      </c>
      <c r="O62" s="190">
        <f t="shared" si="9"/>
        <v>0</v>
      </c>
      <c r="P62" s="190">
        <f t="shared" si="10"/>
        <v>0</v>
      </c>
      <c r="Q62" s="190">
        <v>0</v>
      </c>
      <c r="R62" s="191">
        <f t="shared" si="11"/>
        <v>-0.23332501426879085</v>
      </c>
    </row>
    <row r="63" spans="1:18" x14ac:dyDescent="0.25">
      <c r="A63" s="148">
        <v>8</v>
      </c>
      <c r="B63" s="183">
        <f t="shared" si="4"/>
        <v>45139</v>
      </c>
      <c r="C63" s="203">
        <f t="shared" si="20"/>
        <v>45174</v>
      </c>
      <c r="D63" s="203">
        <f t="shared" si="20"/>
        <v>45194</v>
      </c>
      <c r="E63" s="52" t="s">
        <v>14</v>
      </c>
      <c r="F63" s="148">
        <v>9</v>
      </c>
      <c r="G63" s="185">
        <v>1053</v>
      </c>
      <c r="H63" s="186">
        <f t="shared" si="5"/>
        <v>5.8995013464481114E-4</v>
      </c>
      <c r="I63" s="186">
        <f t="shared" si="1"/>
        <v>3.5379387159913887E-4</v>
      </c>
      <c r="J63" s="187">
        <f t="shared" si="2"/>
        <v>0.37254494679389322</v>
      </c>
      <c r="K63" s="194">
        <f t="shared" si="13"/>
        <v>0.62121749178098618</v>
      </c>
      <c r="L63" s="193">
        <f t="shared" si="21"/>
        <v>-0.24867254498709296</v>
      </c>
      <c r="M63" s="190">
        <f t="shared" si="7"/>
        <v>-1.7227065429613529E-2</v>
      </c>
      <c r="N63" s="191">
        <f t="shared" si="8"/>
        <v>-0.26589961041670651</v>
      </c>
      <c r="O63" s="190">
        <f t="shared" si="9"/>
        <v>0</v>
      </c>
      <c r="P63" s="190">
        <f t="shared" si="10"/>
        <v>0</v>
      </c>
      <c r="Q63" s="190">
        <v>0</v>
      </c>
      <c r="R63" s="191">
        <f t="shared" si="11"/>
        <v>-0.26589961041670651</v>
      </c>
    </row>
    <row r="64" spans="1:18" x14ac:dyDescent="0.25">
      <c r="A64" s="148">
        <v>9</v>
      </c>
      <c r="B64" s="183">
        <f t="shared" si="4"/>
        <v>45170</v>
      </c>
      <c r="C64" s="203">
        <f t="shared" si="20"/>
        <v>45203</v>
      </c>
      <c r="D64" s="203">
        <f t="shared" si="20"/>
        <v>45223</v>
      </c>
      <c r="E64" s="52" t="s">
        <v>14</v>
      </c>
      <c r="F64" s="148">
        <v>9</v>
      </c>
      <c r="G64" s="185">
        <v>905</v>
      </c>
      <c r="H64" s="186">
        <f t="shared" si="5"/>
        <v>5.8995013464481114E-4</v>
      </c>
      <c r="I64" s="186">
        <f t="shared" ref="I64:I107" si="22">$J$3</f>
        <v>3.5379387159913887E-4</v>
      </c>
      <c r="J64" s="187">
        <f t="shared" si="2"/>
        <v>0.32018345379722069</v>
      </c>
      <c r="K64" s="194">
        <f t="shared" si="13"/>
        <v>0.53390487185355406</v>
      </c>
      <c r="L64" s="193">
        <f t="shared" si="21"/>
        <v>-0.21372141805633338</v>
      </c>
      <c r="M64" s="190">
        <f t="shared" si="7"/>
        <v>-1.4805787477493107E-2</v>
      </c>
      <c r="N64" s="191">
        <f t="shared" si="8"/>
        <v>-0.22852720553382649</v>
      </c>
      <c r="O64" s="190">
        <f t="shared" si="9"/>
        <v>0</v>
      </c>
      <c r="P64" s="190">
        <f t="shared" si="10"/>
        <v>0</v>
      </c>
      <c r="Q64" s="190">
        <v>0</v>
      </c>
      <c r="R64" s="191">
        <f t="shared" si="11"/>
        <v>-0.22852720553382649</v>
      </c>
    </row>
    <row r="65" spans="1:18" x14ac:dyDescent="0.25">
      <c r="A65" s="111">
        <v>10</v>
      </c>
      <c r="B65" s="183">
        <f t="shared" si="4"/>
        <v>45200</v>
      </c>
      <c r="C65" s="203">
        <f t="shared" si="20"/>
        <v>45233</v>
      </c>
      <c r="D65" s="203">
        <f t="shared" si="20"/>
        <v>45254</v>
      </c>
      <c r="E65" s="52" t="s">
        <v>14</v>
      </c>
      <c r="F65" s="148">
        <v>9</v>
      </c>
      <c r="G65" s="185">
        <v>694</v>
      </c>
      <c r="H65" s="186">
        <f t="shared" si="5"/>
        <v>5.8995013464481114E-4</v>
      </c>
      <c r="I65" s="186">
        <f t="shared" si="22"/>
        <v>3.5379387159913887E-4</v>
      </c>
      <c r="J65" s="187">
        <f t="shared" si="2"/>
        <v>0.24553294688980237</v>
      </c>
      <c r="K65" s="194">
        <f t="shared" si="13"/>
        <v>0.40942539344349893</v>
      </c>
      <c r="L65" s="193">
        <f t="shared" si="21"/>
        <v>-0.16389244655369656</v>
      </c>
      <c r="M65" s="190">
        <f t="shared" si="7"/>
        <v>-1.1353830397105212E-2</v>
      </c>
      <c r="N65" s="191">
        <f t="shared" si="8"/>
        <v>-0.17524627695080178</v>
      </c>
      <c r="O65" s="190">
        <f t="shared" si="9"/>
        <v>0</v>
      </c>
      <c r="P65" s="190">
        <f t="shared" si="10"/>
        <v>0</v>
      </c>
      <c r="Q65" s="190">
        <v>0</v>
      </c>
      <c r="R65" s="191">
        <f t="shared" si="11"/>
        <v>-0.17524627695080178</v>
      </c>
    </row>
    <row r="66" spans="1:18" x14ac:dyDescent="0.25">
      <c r="A66" s="148">
        <v>11</v>
      </c>
      <c r="B66" s="183">
        <f t="shared" si="4"/>
        <v>45231</v>
      </c>
      <c r="C66" s="203">
        <f t="shared" si="20"/>
        <v>45266</v>
      </c>
      <c r="D66" s="203">
        <f t="shared" si="20"/>
        <v>45285</v>
      </c>
      <c r="E66" s="52" t="s">
        <v>14</v>
      </c>
      <c r="F66" s="148">
        <v>9</v>
      </c>
      <c r="G66" s="185">
        <v>736</v>
      </c>
      <c r="H66" s="186">
        <f t="shared" si="5"/>
        <v>5.8995013464481114E-4</v>
      </c>
      <c r="I66" s="186">
        <f t="shared" si="22"/>
        <v>3.5379387159913887E-4</v>
      </c>
      <c r="J66" s="187">
        <f t="shared" si="2"/>
        <v>0.26039228949696619</v>
      </c>
      <c r="K66" s="194">
        <f t="shared" si="13"/>
        <v>0.43420329909858102</v>
      </c>
      <c r="L66" s="193">
        <f t="shared" si="21"/>
        <v>-0.17381100960161483</v>
      </c>
      <c r="M66" s="190">
        <f t="shared" si="7"/>
        <v>-1.2040949815950195E-2</v>
      </c>
      <c r="N66" s="191">
        <f t="shared" si="8"/>
        <v>-0.18585195941756502</v>
      </c>
      <c r="O66" s="190">
        <f t="shared" si="9"/>
        <v>0</v>
      </c>
      <c r="P66" s="190">
        <f t="shared" si="10"/>
        <v>0</v>
      </c>
      <c r="Q66" s="190">
        <v>0</v>
      </c>
      <c r="R66" s="191">
        <f t="shared" si="11"/>
        <v>-0.18585195941756502</v>
      </c>
    </row>
    <row r="67" spans="1:18" s="207" customFormat="1" x14ac:dyDescent="0.25">
      <c r="A67" s="148">
        <v>12</v>
      </c>
      <c r="B67" s="205">
        <f t="shared" si="4"/>
        <v>45261</v>
      </c>
      <c r="C67" s="203">
        <f t="shared" si="20"/>
        <v>45294</v>
      </c>
      <c r="D67" s="203">
        <f t="shared" si="20"/>
        <v>45315</v>
      </c>
      <c r="E67" s="206" t="s">
        <v>14</v>
      </c>
      <c r="F67" s="159">
        <v>9</v>
      </c>
      <c r="G67" s="185">
        <v>713</v>
      </c>
      <c r="H67" s="195">
        <f t="shared" si="5"/>
        <v>5.8995013464481114E-4</v>
      </c>
      <c r="I67" s="195">
        <f t="shared" si="22"/>
        <v>3.5379387159913887E-4</v>
      </c>
      <c r="J67" s="196">
        <f t="shared" si="2"/>
        <v>0.25225503045018599</v>
      </c>
      <c r="K67" s="197">
        <f t="shared" si="13"/>
        <v>0.42063444600175037</v>
      </c>
      <c r="L67" s="198">
        <f t="shared" si="21"/>
        <v>-0.16837941555156438</v>
      </c>
      <c r="M67" s="190">
        <f t="shared" si="7"/>
        <v>-1.1664670134201752E-2</v>
      </c>
      <c r="N67" s="191">
        <f t="shared" si="8"/>
        <v>-0.18004408568576613</v>
      </c>
      <c r="O67" s="190">
        <f t="shared" si="9"/>
        <v>0</v>
      </c>
      <c r="P67" s="190">
        <f t="shared" si="10"/>
        <v>0</v>
      </c>
      <c r="Q67" s="190">
        <v>0</v>
      </c>
      <c r="R67" s="191">
        <f t="shared" si="11"/>
        <v>-0.18004408568576613</v>
      </c>
    </row>
    <row r="68" spans="1:18" x14ac:dyDescent="0.25">
      <c r="A68" s="111">
        <v>1</v>
      </c>
      <c r="B68" s="183">
        <f t="shared" si="4"/>
        <v>44927</v>
      </c>
      <c r="C68" s="200">
        <f t="shared" ref="C68:D79" si="23">+C56</f>
        <v>44960</v>
      </c>
      <c r="D68" s="200">
        <f t="shared" si="23"/>
        <v>44981</v>
      </c>
      <c r="E68" s="184" t="s">
        <v>85</v>
      </c>
      <c r="F68" s="111">
        <v>9</v>
      </c>
      <c r="G68" s="185">
        <v>44</v>
      </c>
      <c r="H68" s="186">
        <f>+$K$3</f>
        <v>5.8995013464481114E-4</v>
      </c>
      <c r="I68" s="186">
        <f t="shared" si="22"/>
        <v>3.5379387159913887E-4</v>
      </c>
      <c r="J68" s="187">
        <f t="shared" si="2"/>
        <v>1.5566930350362111E-2</v>
      </c>
      <c r="K68" s="188">
        <f t="shared" si="13"/>
        <v>2.5957805924371691E-2</v>
      </c>
      <c r="L68" s="189">
        <f t="shared" si="21"/>
        <v>-1.039087557400958E-2</v>
      </c>
      <c r="M68" s="190">
        <f t="shared" si="7"/>
        <v>-7.198393911709356E-4</v>
      </c>
      <c r="N68" s="191">
        <f t="shared" si="8"/>
        <v>-1.1110714965180516E-2</v>
      </c>
      <c r="O68" s="190">
        <f t="shared" si="9"/>
        <v>0</v>
      </c>
      <c r="P68" s="190">
        <f t="shared" si="10"/>
        <v>0</v>
      </c>
      <c r="Q68" s="190">
        <v>0</v>
      </c>
      <c r="R68" s="191">
        <f t="shared" si="11"/>
        <v>-1.1110714965180516E-2</v>
      </c>
    </row>
    <row r="69" spans="1:18" x14ac:dyDescent="0.25">
      <c r="A69" s="148">
        <v>2</v>
      </c>
      <c r="B69" s="183">
        <f t="shared" si="4"/>
        <v>44958</v>
      </c>
      <c r="C69" s="203">
        <f t="shared" si="23"/>
        <v>44988</v>
      </c>
      <c r="D69" s="203">
        <f t="shared" si="23"/>
        <v>45009</v>
      </c>
      <c r="E69" s="192" t="s">
        <v>85</v>
      </c>
      <c r="F69" s="148">
        <v>9</v>
      </c>
      <c r="G69" s="185">
        <v>42</v>
      </c>
      <c r="H69" s="186">
        <f t="shared" si="5"/>
        <v>5.8995013464481114E-4</v>
      </c>
      <c r="I69" s="186">
        <f t="shared" si="22"/>
        <v>3.5379387159913887E-4</v>
      </c>
      <c r="J69" s="187">
        <f t="shared" si="2"/>
        <v>1.4859342607163832E-2</v>
      </c>
      <c r="K69" s="188">
        <f t="shared" si="13"/>
        <v>2.4777905655082068E-2</v>
      </c>
      <c r="L69" s="189">
        <f t="shared" si="21"/>
        <v>-9.9185630479182354E-3</v>
      </c>
      <c r="M69" s="190">
        <f t="shared" si="7"/>
        <v>-6.8711941884498401E-4</v>
      </c>
      <c r="N69" s="191">
        <f t="shared" si="8"/>
        <v>-1.060568246676322E-2</v>
      </c>
      <c r="O69" s="190">
        <f t="shared" si="9"/>
        <v>0</v>
      </c>
      <c r="P69" s="190">
        <f t="shared" si="10"/>
        <v>0</v>
      </c>
      <c r="Q69" s="190">
        <v>0</v>
      </c>
      <c r="R69" s="191">
        <f t="shared" si="11"/>
        <v>-1.060568246676322E-2</v>
      </c>
    </row>
    <row r="70" spans="1:18" x14ac:dyDescent="0.25">
      <c r="A70" s="148">
        <v>3</v>
      </c>
      <c r="B70" s="183">
        <f t="shared" si="4"/>
        <v>44986</v>
      </c>
      <c r="C70" s="203">
        <f t="shared" si="23"/>
        <v>45021</v>
      </c>
      <c r="D70" s="203">
        <f t="shared" si="23"/>
        <v>45040</v>
      </c>
      <c r="E70" s="192" t="s">
        <v>85</v>
      </c>
      <c r="F70" s="148">
        <v>9</v>
      </c>
      <c r="G70" s="185">
        <v>37</v>
      </c>
      <c r="H70" s="186">
        <f t="shared" si="5"/>
        <v>5.8995013464481114E-4</v>
      </c>
      <c r="I70" s="186">
        <f t="shared" si="22"/>
        <v>3.5379387159913887E-4</v>
      </c>
      <c r="J70" s="187">
        <f t="shared" si="2"/>
        <v>1.3090373249168138E-2</v>
      </c>
      <c r="K70" s="188">
        <f t="shared" si="13"/>
        <v>2.1828154981858014E-2</v>
      </c>
      <c r="L70" s="189">
        <f>+J70-K70</f>
        <v>-8.7377817326898758E-3</v>
      </c>
      <c r="M70" s="190">
        <f t="shared" si="7"/>
        <v>-6.0531948803010493E-4</v>
      </c>
      <c r="N70" s="191">
        <f t="shared" si="8"/>
        <v>-9.34310122071998E-3</v>
      </c>
      <c r="O70" s="190">
        <f t="shared" si="9"/>
        <v>0</v>
      </c>
      <c r="P70" s="190">
        <f t="shared" si="10"/>
        <v>0</v>
      </c>
      <c r="Q70" s="190">
        <v>0</v>
      </c>
      <c r="R70" s="191">
        <f t="shared" si="11"/>
        <v>-9.34310122071998E-3</v>
      </c>
    </row>
    <row r="71" spans="1:18" x14ac:dyDescent="0.25">
      <c r="A71" s="111">
        <v>4</v>
      </c>
      <c r="B71" s="183">
        <f t="shared" si="4"/>
        <v>45017</v>
      </c>
      <c r="C71" s="203">
        <f t="shared" si="23"/>
        <v>45049</v>
      </c>
      <c r="D71" s="203">
        <f t="shared" si="23"/>
        <v>45070</v>
      </c>
      <c r="E71" s="192" t="s">
        <v>85</v>
      </c>
      <c r="F71" s="148">
        <v>9</v>
      </c>
      <c r="G71" s="185">
        <v>27</v>
      </c>
      <c r="H71" s="186">
        <f t="shared" si="5"/>
        <v>5.8995013464481114E-4</v>
      </c>
      <c r="I71" s="186">
        <f t="shared" si="22"/>
        <v>3.5379387159913887E-4</v>
      </c>
      <c r="J71" s="187">
        <f t="shared" si="2"/>
        <v>9.5524345331767496E-3</v>
      </c>
      <c r="K71" s="188">
        <f t="shared" si="13"/>
        <v>1.5928653635409899E-2</v>
      </c>
      <c r="L71" s="189">
        <f t="shared" ref="L71:L79" si="24">+J71-K71</f>
        <v>-6.3762191022331497E-3</v>
      </c>
      <c r="M71" s="190">
        <f t="shared" si="7"/>
        <v>-4.4171962640034688E-4</v>
      </c>
      <c r="N71" s="191">
        <f t="shared" si="8"/>
        <v>-6.8179387286334964E-3</v>
      </c>
      <c r="O71" s="190">
        <f t="shared" si="9"/>
        <v>0</v>
      </c>
      <c r="P71" s="190">
        <f t="shared" si="10"/>
        <v>0</v>
      </c>
      <c r="Q71" s="190">
        <v>0</v>
      </c>
      <c r="R71" s="191">
        <f t="shared" si="11"/>
        <v>-6.8179387286334964E-3</v>
      </c>
    </row>
    <row r="72" spans="1:18" x14ac:dyDescent="0.25">
      <c r="A72" s="148">
        <v>5</v>
      </c>
      <c r="B72" s="183">
        <f t="shared" si="4"/>
        <v>45047</v>
      </c>
      <c r="C72" s="203">
        <f t="shared" si="23"/>
        <v>45082</v>
      </c>
      <c r="D72" s="203">
        <f t="shared" si="23"/>
        <v>45103</v>
      </c>
      <c r="E72" s="192" t="s">
        <v>85</v>
      </c>
      <c r="F72" s="148">
        <v>9</v>
      </c>
      <c r="G72" s="185">
        <v>42</v>
      </c>
      <c r="H72" s="186">
        <f t="shared" si="5"/>
        <v>5.8995013464481114E-4</v>
      </c>
      <c r="I72" s="186">
        <f t="shared" si="22"/>
        <v>3.5379387159913887E-4</v>
      </c>
      <c r="J72" s="187">
        <f t="shared" si="2"/>
        <v>1.4859342607163832E-2</v>
      </c>
      <c r="K72" s="188">
        <f t="shared" si="13"/>
        <v>2.4777905655082068E-2</v>
      </c>
      <c r="L72" s="189">
        <f t="shared" si="24"/>
        <v>-9.9185630479182354E-3</v>
      </c>
      <c r="M72" s="190">
        <f t="shared" si="7"/>
        <v>-6.8711941884498401E-4</v>
      </c>
      <c r="N72" s="191">
        <f t="shared" si="8"/>
        <v>-1.060568246676322E-2</v>
      </c>
      <c r="O72" s="190">
        <f t="shared" si="9"/>
        <v>0</v>
      </c>
      <c r="P72" s="190">
        <f t="shared" si="10"/>
        <v>0</v>
      </c>
      <c r="Q72" s="190">
        <v>0</v>
      </c>
      <c r="R72" s="191">
        <f t="shared" si="11"/>
        <v>-1.060568246676322E-2</v>
      </c>
    </row>
    <row r="73" spans="1:18" x14ac:dyDescent="0.25">
      <c r="A73" s="148">
        <v>6</v>
      </c>
      <c r="B73" s="183">
        <f t="shared" si="4"/>
        <v>45078</v>
      </c>
      <c r="C73" s="203">
        <f t="shared" si="23"/>
        <v>45112</v>
      </c>
      <c r="D73" s="203">
        <f t="shared" si="23"/>
        <v>45131</v>
      </c>
      <c r="E73" s="192" t="s">
        <v>85</v>
      </c>
      <c r="F73" s="148">
        <v>9</v>
      </c>
      <c r="G73" s="185">
        <v>56</v>
      </c>
      <c r="H73" s="186">
        <f t="shared" si="5"/>
        <v>5.8995013464481114E-4</v>
      </c>
      <c r="I73" s="186">
        <f t="shared" si="22"/>
        <v>3.5379387159913887E-4</v>
      </c>
      <c r="J73" s="187">
        <f t="shared" si="2"/>
        <v>1.9812456809551775E-2</v>
      </c>
      <c r="K73" s="188">
        <f t="shared" si="13"/>
        <v>3.3037207540109421E-2</v>
      </c>
      <c r="L73" s="193">
        <f t="shared" si="24"/>
        <v>-1.3224750730557646E-2</v>
      </c>
      <c r="M73" s="190">
        <f t="shared" si="7"/>
        <v>-9.1615922512664535E-4</v>
      </c>
      <c r="N73" s="191">
        <f t="shared" si="8"/>
        <v>-1.4140909955684292E-2</v>
      </c>
      <c r="O73" s="190">
        <f t="shared" si="9"/>
        <v>0</v>
      </c>
      <c r="P73" s="190">
        <f t="shared" si="10"/>
        <v>0</v>
      </c>
      <c r="Q73" s="190">
        <v>0</v>
      </c>
      <c r="R73" s="191">
        <f t="shared" si="11"/>
        <v>-1.4140909955684292E-2</v>
      </c>
    </row>
    <row r="74" spans="1:18" x14ac:dyDescent="0.25">
      <c r="A74" s="111">
        <v>7</v>
      </c>
      <c r="B74" s="183">
        <f t="shared" si="4"/>
        <v>45108</v>
      </c>
      <c r="C74" s="203">
        <f t="shared" si="23"/>
        <v>45141</v>
      </c>
      <c r="D74" s="203">
        <f t="shared" si="23"/>
        <v>45162</v>
      </c>
      <c r="E74" s="192" t="s">
        <v>85</v>
      </c>
      <c r="F74" s="148">
        <v>9</v>
      </c>
      <c r="G74" s="185">
        <v>54</v>
      </c>
      <c r="H74" s="186">
        <f t="shared" si="5"/>
        <v>5.8995013464481114E-4</v>
      </c>
      <c r="I74" s="186">
        <f t="shared" si="22"/>
        <v>3.5379387159913887E-4</v>
      </c>
      <c r="J74" s="187">
        <f t="shared" si="2"/>
        <v>1.9104869066353499E-2</v>
      </c>
      <c r="K74" s="194">
        <f t="shared" si="13"/>
        <v>3.1857307270819799E-2</v>
      </c>
      <c r="L74" s="193">
        <f t="shared" si="24"/>
        <v>-1.2752438204466299E-2</v>
      </c>
      <c r="M74" s="190">
        <f t="shared" si="7"/>
        <v>-8.8343925280069376E-4</v>
      </c>
      <c r="N74" s="191">
        <f t="shared" si="8"/>
        <v>-1.3635877457266993E-2</v>
      </c>
      <c r="O74" s="190">
        <f t="shared" si="9"/>
        <v>0</v>
      </c>
      <c r="P74" s="190">
        <f t="shared" si="10"/>
        <v>0</v>
      </c>
      <c r="Q74" s="190">
        <v>0</v>
      </c>
      <c r="R74" s="191">
        <f t="shared" si="11"/>
        <v>-1.3635877457266993E-2</v>
      </c>
    </row>
    <row r="75" spans="1:18" x14ac:dyDescent="0.25">
      <c r="A75" s="148">
        <v>8</v>
      </c>
      <c r="B75" s="183">
        <f t="shared" si="4"/>
        <v>45139</v>
      </c>
      <c r="C75" s="203">
        <f t="shared" si="23"/>
        <v>45174</v>
      </c>
      <c r="D75" s="203">
        <f t="shared" si="23"/>
        <v>45194</v>
      </c>
      <c r="E75" s="192" t="s">
        <v>85</v>
      </c>
      <c r="F75" s="148">
        <v>9</v>
      </c>
      <c r="G75" s="185">
        <v>59</v>
      </c>
      <c r="H75" s="186">
        <f t="shared" si="5"/>
        <v>5.8995013464481114E-4</v>
      </c>
      <c r="I75" s="186">
        <f t="shared" si="22"/>
        <v>3.5379387159913887E-4</v>
      </c>
      <c r="J75" s="187">
        <f t="shared" si="2"/>
        <v>2.0873838424349193E-2</v>
      </c>
      <c r="K75" s="194">
        <f t="shared" si="13"/>
        <v>3.4807057944043859E-2</v>
      </c>
      <c r="L75" s="193">
        <f t="shared" si="24"/>
        <v>-1.3933219519694666E-2</v>
      </c>
      <c r="M75" s="190">
        <f t="shared" si="7"/>
        <v>-9.6523918361557273E-4</v>
      </c>
      <c r="N75" s="191">
        <f t="shared" si="8"/>
        <v>-1.4898458703310238E-2</v>
      </c>
      <c r="O75" s="190">
        <f t="shared" si="9"/>
        <v>0</v>
      </c>
      <c r="P75" s="190">
        <f t="shared" si="10"/>
        <v>0</v>
      </c>
      <c r="Q75" s="190">
        <v>0</v>
      </c>
      <c r="R75" s="191">
        <f t="shared" si="11"/>
        <v>-1.4898458703310238E-2</v>
      </c>
    </row>
    <row r="76" spans="1:18" x14ac:dyDescent="0.25">
      <c r="A76" s="148">
        <v>9</v>
      </c>
      <c r="B76" s="183">
        <f t="shared" si="4"/>
        <v>45170</v>
      </c>
      <c r="C76" s="203">
        <f t="shared" si="23"/>
        <v>45203</v>
      </c>
      <c r="D76" s="203">
        <f t="shared" si="23"/>
        <v>45223</v>
      </c>
      <c r="E76" s="192" t="s">
        <v>85</v>
      </c>
      <c r="F76" s="148">
        <v>9</v>
      </c>
      <c r="G76" s="185">
        <v>54</v>
      </c>
      <c r="H76" s="186">
        <f t="shared" si="5"/>
        <v>5.8995013464481114E-4</v>
      </c>
      <c r="I76" s="186">
        <f t="shared" si="22"/>
        <v>3.5379387159913887E-4</v>
      </c>
      <c r="J76" s="187">
        <f t="shared" si="2"/>
        <v>1.9104869066353499E-2</v>
      </c>
      <c r="K76" s="194">
        <f t="shared" si="13"/>
        <v>3.1857307270819799E-2</v>
      </c>
      <c r="L76" s="193">
        <f t="shared" si="24"/>
        <v>-1.2752438204466299E-2</v>
      </c>
      <c r="M76" s="190">
        <f t="shared" si="7"/>
        <v>-8.8343925280069376E-4</v>
      </c>
      <c r="N76" s="191">
        <f t="shared" si="8"/>
        <v>-1.3635877457266993E-2</v>
      </c>
      <c r="O76" s="190">
        <f t="shared" si="9"/>
        <v>0</v>
      </c>
      <c r="P76" s="190">
        <f t="shared" si="10"/>
        <v>0</v>
      </c>
      <c r="Q76" s="190">
        <v>0</v>
      </c>
      <c r="R76" s="191">
        <f t="shared" si="11"/>
        <v>-1.3635877457266993E-2</v>
      </c>
    </row>
    <row r="77" spans="1:18" x14ac:dyDescent="0.25">
      <c r="A77" s="111">
        <v>10</v>
      </c>
      <c r="B77" s="183">
        <f t="shared" si="4"/>
        <v>45200</v>
      </c>
      <c r="C77" s="203">
        <f t="shared" si="23"/>
        <v>45233</v>
      </c>
      <c r="D77" s="203">
        <f t="shared" si="23"/>
        <v>45254</v>
      </c>
      <c r="E77" s="192" t="s">
        <v>85</v>
      </c>
      <c r="F77" s="148">
        <v>9</v>
      </c>
      <c r="G77" s="185">
        <v>37</v>
      </c>
      <c r="H77" s="186">
        <f t="shared" si="5"/>
        <v>5.8995013464481114E-4</v>
      </c>
      <c r="I77" s="186">
        <f t="shared" si="22"/>
        <v>3.5379387159913887E-4</v>
      </c>
      <c r="J77" s="187">
        <f t="shared" si="2"/>
        <v>1.3090373249168138E-2</v>
      </c>
      <c r="K77" s="194">
        <f t="shared" si="13"/>
        <v>2.1828154981858014E-2</v>
      </c>
      <c r="L77" s="193">
        <f t="shared" si="24"/>
        <v>-8.7377817326898758E-3</v>
      </c>
      <c r="M77" s="190">
        <f t="shared" si="7"/>
        <v>-6.0531948803010493E-4</v>
      </c>
      <c r="N77" s="191">
        <f t="shared" si="8"/>
        <v>-9.34310122071998E-3</v>
      </c>
      <c r="O77" s="190">
        <f t="shared" si="9"/>
        <v>0</v>
      </c>
      <c r="P77" s="190">
        <f t="shared" si="10"/>
        <v>0</v>
      </c>
      <c r="Q77" s="190">
        <v>0</v>
      </c>
      <c r="R77" s="191">
        <f t="shared" si="11"/>
        <v>-9.34310122071998E-3</v>
      </c>
    </row>
    <row r="78" spans="1:18" x14ac:dyDescent="0.25">
      <c r="A78" s="148">
        <v>11</v>
      </c>
      <c r="B78" s="183">
        <f t="shared" si="4"/>
        <v>45231</v>
      </c>
      <c r="C78" s="203">
        <f t="shared" si="23"/>
        <v>45266</v>
      </c>
      <c r="D78" s="203">
        <f t="shared" si="23"/>
        <v>45285</v>
      </c>
      <c r="E78" s="192" t="s">
        <v>85</v>
      </c>
      <c r="F78" s="148">
        <v>9</v>
      </c>
      <c r="G78" s="185">
        <v>38</v>
      </c>
      <c r="H78" s="186">
        <f t="shared" si="5"/>
        <v>5.8995013464481114E-4</v>
      </c>
      <c r="I78" s="186">
        <f t="shared" si="22"/>
        <v>3.5379387159913887E-4</v>
      </c>
      <c r="J78" s="187">
        <f t="shared" si="2"/>
        <v>1.3444167120767276E-2</v>
      </c>
      <c r="K78" s="194">
        <f>+$G78*H78</f>
        <v>2.2418105116502822E-2</v>
      </c>
      <c r="L78" s="193">
        <f t="shared" si="24"/>
        <v>-8.9739379957355456E-3</v>
      </c>
      <c r="M78" s="190">
        <f t="shared" si="7"/>
        <v>-6.2167947419308083E-4</v>
      </c>
      <c r="N78" s="191">
        <f t="shared" si="8"/>
        <v>-9.5956174699286263E-3</v>
      </c>
      <c r="O78" s="190">
        <f t="shared" si="9"/>
        <v>0</v>
      </c>
      <c r="P78" s="190">
        <f t="shared" si="10"/>
        <v>0</v>
      </c>
      <c r="Q78" s="190">
        <v>0</v>
      </c>
      <c r="R78" s="191">
        <f t="shared" si="11"/>
        <v>-9.5956174699286263E-3</v>
      </c>
    </row>
    <row r="79" spans="1:18" s="207" customFormat="1" x14ac:dyDescent="0.25">
      <c r="A79" s="148">
        <v>12</v>
      </c>
      <c r="B79" s="205">
        <f t="shared" si="4"/>
        <v>45261</v>
      </c>
      <c r="C79" s="208">
        <f t="shared" si="23"/>
        <v>45294</v>
      </c>
      <c r="D79" s="208">
        <f t="shared" si="23"/>
        <v>45315</v>
      </c>
      <c r="E79" s="209" t="s">
        <v>85</v>
      </c>
      <c r="F79" s="159">
        <v>9</v>
      </c>
      <c r="G79" s="185">
        <v>35</v>
      </c>
      <c r="H79" s="195">
        <f t="shared" si="5"/>
        <v>5.8995013464481114E-4</v>
      </c>
      <c r="I79" s="195">
        <f t="shared" si="22"/>
        <v>3.5379387159913887E-4</v>
      </c>
      <c r="J79" s="196">
        <f t="shared" si="2"/>
        <v>1.238278550596986E-2</v>
      </c>
      <c r="K79" s="197">
        <f>+$G79*H79</f>
        <v>2.0648254712568391E-2</v>
      </c>
      <c r="L79" s="198">
        <f t="shared" si="24"/>
        <v>-8.2654692065985309E-3</v>
      </c>
      <c r="M79" s="190">
        <f t="shared" si="7"/>
        <v>-5.7259951570415334E-4</v>
      </c>
      <c r="N79" s="191">
        <f t="shared" si="8"/>
        <v>-8.8380687223026839E-3</v>
      </c>
      <c r="O79" s="190">
        <f t="shared" si="9"/>
        <v>0</v>
      </c>
      <c r="P79" s="190">
        <f t="shared" si="10"/>
        <v>0</v>
      </c>
      <c r="Q79" s="190">
        <v>0</v>
      </c>
      <c r="R79" s="191">
        <f t="shared" si="11"/>
        <v>-8.8380687223026839E-3</v>
      </c>
    </row>
    <row r="80" spans="1:18" s="50" customFormat="1" ht="12.75" customHeight="1" x14ac:dyDescent="0.25">
      <c r="A80" s="111">
        <v>1</v>
      </c>
      <c r="B80" s="183">
        <f t="shared" si="4"/>
        <v>44927</v>
      </c>
      <c r="C80" s="200">
        <f t="shared" ref="C80:D91" si="25">+C56</f>
        <v>44960</v>
      </c>
      <c r="D80" s="200">
        <f t="shared" si="25"/>
        <v>44981</v>
      </c>
      <c r="E80" s="184" t="s">
        <v>9</v>
      </c>
      <c r="F80" s="111">
        <v>9</v>
      </c>
      <c r="G80" s="185">
        <v>53</v>
      </c>
      <c r="H80" s="186">
        <f>+$K$3</f>
        <v>5.8995013464481114E-4</v>
      </c>
      <c r="I80" s="186">
        <f t="shared" si="22"/>
        <v>3.5379387159913887E-4</v>
      </c>
      <c r="J80" s="187">
        <f t="shared" si="2"/>
        <v>1.8751075194754361E-2</v>
      </c>
      <c r="K80" s="188">
        <f t="shared" si="13"/>
        <v>3.1267357136174991E-2</v>
      </c>
      <c r="L80" s="189">
        <f t="shared" si="21"/>
        <v>-1.251628194142063E-2</v>
      </c>
      <c r="M80" s="190">
        <f t="shared" si="7"/>
        <v>-8.6707926663771796E-4</v>
      </c>
      <c r="N80" s="191">
        <f t="shared" si="8"/>
        <v>-1.3383361208058348E-2</v>
      </c>
      <c r="O80" s="190">
        <f t="shared" si="9"/>
        <v>0</v>
      </c>
      <c r="P80" s="190">
        <f t="shared" si="10"/>
        <v>0</v>
      </c>
      <c r="Q80" s="190">
        <v>0</v>
      </c>
      <c r="R80" s="191">
        <f t="shared" si="11"/>
        <v>-1.3383361208058348E-2</v>
      </c>
    </row>
    <row r="81" spans="1:18" x14ac:dyDescent="0.25">
      <c r="A81" s="148">
        <v>2</v>
      </c>
      <c r="B81" s="183">
        <f t="shared" si="4"/>
        <v>44958</v>
      </c>
      <c r="C81" s="203">
        <f t="shared" si="25"/>
        <v>44988</v>
      </c>
      <c r="D81" s="203">
        <f t="shared" si="25"/>
        <v>45009</v>
      </c>
      <c r="E81" s="192" t="s">
        <v>9</v>
      </c>
      <c r="F81" s="148">
        <v>9</v>
      </c>
      <c r="G81" s="185">
        <v>55</v>
      </c>
      <c r="H81" s="186">
        <f t="shared" si="5"/>
        <v>5.8995013464481114E-4</v>
      </c>
      <c r="I81" s="186">
        <f t="shared" si="22"/>
        <v>3.5379387159913887E-4</v>
      </c>
      <c r="J81" s="187">
        <f t="shared" si="2"/>
        <v>1.9458662937952637E-2</v>
      </c>
      <c r="K81" s="188">
        <f t="shared" si="13"/>
        <v>3.2447257405464613E-2</v>
      </c>
      <c r="L81" s="189">
        <f t="shared" si="21"/>
        <v>-1.2988594467511976E-2</v>
      </c>
      <c r="M81" s="190">
        <f t="shared" si="7"/>
        <v>-8.9979923896366955E-4</v>
      </c>
      <c r="N81" s="191">
        <f t="shared" si="8"/>
        <v>-1.3888393706475646E-2</v>
      </c>
      <c r="O81" s="190">
        <f t="shared" si="9"/>
        <v>0</v>
      </c>
      <c r="P81" s="190">
        <f t="shared" si="10"/>
        <v>0</v>
      </c>
      <c r="Q81" s="190">
        <v>0</v>
      </c>
      <c r="R81" s="191">
        <f t="shared" si="11"/>
        <v>-1.3888393706475646E-2</v>
      </c>
    </row>
    <row r="82" spans="1:18" x14ac:dyDescent="0.25">
      <c r="A82" s="148">
        <v>3</v>
      </c>
      <c r="B82" s="183">
        <f t="shared" si="4"/>
        <v>44986</v>
      </c>
      <c r="C82" s="203">
        <f t="shared" si="25"/>
        <v>45021</v>
      </c>
      <c r="D82" s="203">
        <f t="shared" si="25"/>
        <v>45040</v>
      </c>
      <c r="E82" s="192" t="s">
        <v>9</v>
      </c>
      <c r="F82" s="148">
        <v>9</v>
      </c>
      <c r="G82" s="185">
        <v>46</v>
      </c>
      <c r="H82" s="186">
        <f t="shared" si="5"/>
        <v>5.8995013464481114E-4</v>
      </c>
      <c r="I82" s="186">
        <f t="shared" si="22"/>
        <v>3.5379387159913887E-4</v>
      </c>
      <c r="J82" s="187">
        <f t="shared" si="2"/>
        <v>1.6274518093560387E-2</v>
      </c>
      <c r="K82" s="188">
        <f t="shared" si="13"/>
        <v>2.7137706193661314E-2</v>
      </c>
      <c r="L82" s="189">
        <f>+J82-K82</f>
        <v>-1.0863188100100927E-2</v>
      </c>
      <c r="M82" s="190">
        <f t="shared" si="7"/>
        <v>-7.5255936349688719E-4</v>
      </c>
      <c r="N82" s="191">
        <f t="shared" si="8"/>
        <v>-1.1615747463597814E-2</v>
      </c>
      <c r="O82" s="190">
        <f t="shared" si="9"/>
        <v>0</v>
      </c>
      <c r="P82" s="190">
        <f t="shared" si="10"/>
        <v>0</v>
      </c>
      <c r="Q82" s="190">
        <v>0</v>
      </c>
      <c r="R82" s="191">
        <f t="shared" si="11"/>
        <v>-1.1615747463597814E-2</v>
      </c>
    </row>
    <row r="83" spans="1:18" ht="12" customHeight="1" x14ac:dyDescent="0.25">
      <c r="A83" s="111">
        <v>4</v>
      </c>
      <c r="B83" s="183">
        <f t="shared" si="4"/>
        <v>45017</v>
      </c>
      <c r="C83" s="203">
        <f t="shared" si="25"/>
        <v>45049</v>
      </c>
      <c r="D83" s="203">
        <f t="shared" si="25"/>
        <v>45070</v>
      </c>
      <c r="E83" s="52" t="s">
        <v>9</v>
      </c>
      <c r="F83" s="148">
        <v>9</v>
      </c>
      <c r="G83" s="185">
        <v>33</v>
      </c>
      <c r="H83" s="186">
        <f t="shared" si="5"/>
        <v>5.8995013464481114E-4</v>
      </c>
      <c r="I83" s="186">
        <f t="shared" si="22"/>
        <v>3.5379387159913887E-4</v>
      </c>
      <c r="J83" s="187">
        <f t="shared" si="2"/>
        <v>1.1675197762771582E-2</v>
      </c>
      <c r="K83" s="188">
        <f t="shared" si="13"/>
        <v>1.9468354443278768E-2</v>
      </c>
      <c r="L83" s="189">
        <f t="shared" ref="L83:L93" si="26">+J83-K83</f>
        <v>-7.7931566805071861E-3</v>
      </c>
      <c r="M83" s="190">
        <f t="shared" si="7"/>
        <v>-5.3987954337820175E-4</v>
      </c>
      <c r="N83" s="191">
        <f t="shared" si="8"/>
        <v>-8.3330362238853879E-3</v>
      </c>
      <c r="O83" s="190">
        <f t="shared" si="9"/>
        <v>0</v>
      </c>
      <c r="P83" s="190">
        <f t="shared" si="10"/>
        <v>0</v>
      </c>
      <c r="Q83" s="190">
        <v>0</v>
      </c>
      <c r="R83" s="191">
        <f t="shared" si="11"/>
        <v>-8.3330362238853879E-3</v>
      </c>
    </row>
    <row r="84" spans="1:18" ht="12" customHeight="1" x14ac:dyDescent="0.25">
      <c r="A84" s="148">
        <v>5</v>
      </c>
      <c r="B84" s="183">
        <f t="shared" si="4"/>
        <v>45047</v>
      </c>
      <c r="C84" s="203">
        <f t="shared" si="25"/>
        <v>45082</v>
      </c>
      <c r="D84" s="203">
        <f t="shared" si="25"/>
        <v>45103</v>
      </c>
      <c r="E84" s="52" t="s">
        <v>9</v>
      </c>
      <c r="F84" s="148">
        <v>9</v>
      </c>
      <c r="G84" s="185">
        <v>44</v>
      </c>
      <c r="H84" s="186">
        <f t="shared" si="5"/>
        <v>5.8995013464481114E-4</v>
      </c>
      <c r="I84" s="186">
        <f t="shared" si="22"/>
        <v>3.5379387159913887E-4</v>
      </c>
      <c r="J84" s="187">
        <f t="shared" si="2"/>
        <v>1.5566930350362111E-2</v>
      </c>
      <c r="K84" s="188">
        <f t="shared" si="13"/>
        <v>2.5957805924371691E-2</v>
      </c>
      <c r="L84" s="189">
        <f t="shared" si="26"/>
        <v>-1.039087557400958E-2</v>
      </c>
      <c r="M84" s="190">
        <f t="shared" si="7"/>
        <v>-7.198393911709356E-4</v>
      </c>
      <c r="N84" s="191">
        <f t="shared" si="8"/>
        <v>-1.1110714965180516E-2</v>
      </c>
      <c r="O84" s="190">
        <f t="shared" si="9"/>
        <v>0</v>
      </c>
      <c r="P84" s="190">
        <f t="shared" si="10"/>
        <v>0</v>
      </c>
      <c r="Q84" s="190">
        <v>0</v>
      </c>
      <c r="R84" s="191">
        <f t="shared" si="11"/>
        <v>-1.1110714965180516E-2</v>
      </c>
    </row>
    <row r="85" spans="1:18" x14ac:dyDescent="0.25">
      <c r="A85" s="148">
        <v>6</v>
      </c>
      <c r="B85" s="183">
        <f t="shared" si="4"/>
        <v>45078</v>
      </c>
      <c r="C85" s="203">
        <f t="shared" si="25"/>
        <v>45112</v>
      </c>
      <c r="D85" s="203">
        <f t="shared" si="25"/>
        <v>45131</v>
      </c>
      <c r="E85" s="52" t="s">
        <v>9</v>
      </c>
      <c r="F85" s="148">
        <v>9</v>
      </c>
      <c r="G85" s="185">
        <v>55</v>
      </c>
      <c r="H85" s="186">
        <f t="shared" ref="H85:H91" si="27">+$K$3</f>
        <v>5.8995013464481114E-4</v>
      </c>
      <c r="I85" s="186">
        <f t="shared" si="22"/>
        <v>3.5379387159913887E-4</v>
      </c>
      <c r="J85" s="187">
        <f t="shared" si="2"/>
        <v>1.9458662937952637E-2</v>
      </c>
      <c r="K85" s="188">
        <f t="shared" si="13"/>
        <v>3.2447257405464613E-2</v>
      </c>
      <c r="L85" s="193">
        <f t="shared" si="26"/>
        <v>-1.2988594467511976E-2</v>
      </c>
      <c r="M85" s="190">
        <f t="shared" ref="M85:M148" si="28">G85/$G$212*$M$14</f>
        <v>-8.9979923896366955E-4</v>
      </c>
      <c r="N85" s="191">
        <f t="shared" ref="N85:N148" si="29">SUM(L85:M85)</f>
        <v>-1.3888393706475646E-2</v>
      </c>
      <c r="O85" s="190">
        <f t="shared" ref="O85:O148" si="30">+$P$3</f>
        <v>0</v>
      </c>
      <c r="P85" s="190">
        <f t="shared" ref="P85:P148" si="31">+G85*O85</f>
        <v>0</v>
      </c>
      <c r="Q85" s="190">
        <v>0</v>
      </c>
      <c r="R85" s="191">
        <f t="shared" ref="R85:R148" si="32">+N85-Q85</f>
        <v>-1.3888393706475646E-2</v>
      </c>
    </row>
    <row r="86" spans="1:18" x14ac:dyDescent="0.25">
      <c r="A86" s="111">
        <v>7</v>
      </c>
      <c r="B86" s="183">
        <f t="shared" si="4"/>
        <v>45108</v>
      </c>
      <c r="C86" s="203">
        <f t="shared" si="25"/>
        <v>45141</v>
      </c>
      <c r="D86" s="203">
        <f t="shared" si="25"/>
        <v>45162</v>
      </c>
      <c r="E86" s="52" t="s">
        <v>9</v>
      </c>
      <c r="F86" s="148">
        <v>9</v>
      </c>
      <c r="G86" s="185">
        <v>57</v>
      </c>
      <c r="H86" s="186">
        <f t="shared" si="27"/>
        <v>5.8995013464481114E-4</v>
      </c>
      <c r="I86" s="186">
        <f t="shared" si="22"/>
        <v>3.5379387159913887E-4</v>
      </c>
      <c r="J86" s="187">
        <f t="shared" si="2"/>
        <v>2.0166250681150917E-2</v>
      </c>
      <c r="K86" s="194">
        <f t="shared" si="13"/>
        <v>3.3627157674754236E-2</v>
      </c>
      <c r="L86" s="193">
        <f t="shared" si="26"/>
        <v>-1.3460906993603319E-2</v>
      </c>
      <c r="M86" s="190">
        <f t="shared" si="28"/>
        <v>-9.3251921128962114E-4</v>
      </c>
      <c r="N86" s="191">
        <f t="shared" si="29"/>
        <v>-1.439342620489294E-2</v>
      </c>
      <c r="O86" s="190">
        <f t="shared" si="30"/>
        <v>0</v>
      </c>
      <c r="P86" s="190">
        <f t="shared" si="31"/>
        <v>0</v>
      </c>
      <c r="Q86" s="190">
        <v>0</v>
      </c>
      <c r="R86" s="191">
        <f t="shared" si="32"/>
        <v>-1.439342620489294E-2</v>
      </c>
    </row>
    <row r="87" spans="1:18" x14ac:dyDescent="0.25">
      <c r="A87" s="148">
        <v>8</v>
      </c>
      <c r="B87" s="183">
        <f t="shared" si="4"/>
        <v>45139</v>
      </c>
      <c r="C87" s="203">
        <f t="shared" si="25"/>
        <v>45174</v>
      </c>
      <c r="D87" s="203">
        <f t="shared" si="25"/>
        <v>45194</v>
      </c>
      <c r="E87" s="52" t="s">
        <v>9</v>
      </c>
      <c r="F87" s="148">
        <v>9</v>
      </c>
      <c r="G87" s="185">
        <v>56</v>
      </c>
      <c r="H87" s="186">
        <f t="shared" si="27"/>
        <v>5.8995013464481114E-4</v>
      </c>
      <c r="I87" s="186">
        <f t="shared" si="22"/>
        <v>3.5379387159913887E-4</v>
      </c>
      <c r="J87" s="187">
        <f t="shared" si="2"/>
        <v>1.9812456809551775E-2</v>
      </c>
      <c r="K87" s="194">
        <f t="shared" si="13"/>
        <v>3.3037207540109421E-2</v>
      </c>
      <c r="L87" s="193">
        <f t="shared" si="26"/>
        <v>-1.3224750730557646E-2</v>
      </c>
      <c r="M87" s="190">
        <f t="shared" si="28"/>
        <v>-9.1615922512664535E-4</v>
      </c>
      <c r="N87" s="191">
        <f t="shared" si="29"/>
        <v>-1.4140909955684292E-2</v>
      </c>
      <c r="O87" s="190">
        <f t="shared" si="30"/>
        <v>0</v>
      </c>
      <c r="P87" s="190">
        <f t="shared" si="31"/>
        <v>0</v>
      </c>
      <c r="Q87" s="190">
        <v>0</v>
      </c>
      <c r="R87" s="191">
        <f t="shared" si="32"/>
        <v>-1.4140909955684292E-2</v>
      </c>
    </row>
    <row r="88" spans="1:18" x14ac:dyDescent="0.25">
      <c r="A88" s="148">
        <v>9</v>
      </c>
      <c r="B88" s="183">
        <f t="shared" si="4"/>
        <v>45170</v>
      </c>
      <c r="C88" s="203">
        <f t="shared" si="25"/>
        <v>45203</v>
      </c>
      <c r="D88" s="203">
        <f t="shared" si="25"/>
        <v>45223</v>
      </c>
      <c r="E88" s="52" t="s">
        <v>9</v>
      </c>
      <c r="F88" s="148">
        <v>9</v>
      </c>
      <c r="G88" s="185">
        <v>60</v>
      </c>
      <c r="H88" s="186">
        <f t="shared" si="27"/>
        <v>5.8995013464481114E-4</v>
      </c>
      <c r="I88" s="186">
        <f t="shared" si="22"/>
        <v>3.5379387159913887E-4</v>
      </c>
      <c r="J88" s="187">
        <f t="shared" si="2"/>
        <v>2.1227632295948332E-2</v>
      </c>
      <c r="K88" s="194">
        <f t="shared" si="13"/>
        <v>3.5397008078688667E-2</v>
      </c>
      <c r="L88" s="193">
        <f t="shared" si="26"/>
        <v>-1.4169375782740336E-2</v>
      </c>
      <c r="M88" s="190">
        <f t="shared" si="28"/>
        <v>-9.8159916977854852E-4</v>
      </c>
      <c r="N88" s="191">
        <f t="shared" si="29"/>
        <v>-1.5150974952518884E-2</v>
      </c>
      <c r="O88" s="190">
        <f t="shared" si="30"/>
        <v>0</v>
      </c>
      <c r="P88" s="190">
        <f t="shared" si="31"/>
        <v>0</v>
      </c>
      <c r="Q88" s="190">
        <v>0</v>
      </c>
      <c r="R88" s="191">
        <f t="shared" si="32"/>
        <v>-1.5150974952518884E-2</v>
      </c>
    </row>
    <row r="89" spans="1:18" x14ac:dyDescent="0.25">
      <c r="A89" s="111">
        <v>10</v>
      </c>
      <c r="B89" s="183">
        <f t="shared" si="4"/>
        <v>45200</v>
      </c>
      <c r="C89" s="203">
        <f t="shared" si="25"/>
        <v>45233</v>
      </c>
      <c r="D89" s="203">
        <f t="shared" si="25"/>
        <v>45254</v>
      </c>
      <c r="E89" s="52" t="s">
        <v>9</v>
      </c>
      <c r="F89" s="148">
        <v>9</v>
      </c>
      <c r="G89" s="185">
        <v>48</v>
      </c>
      <c r="H89" s="186">
        <f t="shared" si="27"/>
        <v>5.8995013464481114E-4</v>
      </c>
      <c r="I89" s="186">
        <f t="shared" si="22"/>
        <v>3.5379387159913887E-4</v>
      </c>
      <c r="J89" s="187">
        <f t="shared" si="2"/>
        <v>1.6982105836758667E-2</v>
      </c>
      <c r="K89" s="194">
        <f t="shared" si="13"/>
        <v>2.8317606462950937E-2</v>
      </c>
      <c r="L89" s="193">
        <f t="shared" si="26"/>
        <v>-1.133550062619227E-2</v>
      </c>
      <c r="M89" s="190">
        <f t="shared" si="28"/>
        <v>-7.8527933582283878E-4</v>
      </c>
      <c r="N89" s="191">
        <f t="shared" si="29"/>
        <v>-1.2120779962015108E-2</v>
      </c>
      <c r="O89" s="190">
        <f t="shared" si="30"/>
        <v>0</v>
      </c>
      <c r="P89" s="190">
        <f t="shared" si="31"/>
        <v>0</v>
      </c>
      <c r="Q89" s="190">
        <v>0</v>
      </c>
      <c r="R89" s="191">
        <f t="shared" si="32"/>
        <v>-1.2120779962015108E-2</v>
      </c>
    </row>
    <row r="90" spans="1:18" x14ac:dyDescent="0.25">
      <c r="A90" s="148">
        <v>11</v>
      </c>
      <c r="B90" s="183">
        <f t="shared" si="4"/>
        <v>45231</v>
      </c>
      <c r="C90" s="203">
        <f t="shared" si="25"/>
        <v>45266</v>
      </c>
      <c r="D90" s="203">
        <f t="shared" si="25"/>
        <v>45285</v>
      </c>
      <c r="E90" s="52" t="s">
        <v>9</v>
      </c>
      <c r="F90" s="148">
        <v>9</v>
      </c>
      <c r="G90" s="185">
        <v>54</v>
      </c>
      <c r="H90" s="186">
        <f t="shared" si="27"/>
        <v>5.8995013464481114E-4</v>
      </c>
      <c r="I90" s="186">
        <f t="shared" si="22"/>
        <v>3.5379387159913887E-4</v>
      </c>
      <c r="J90" s="187">
        <f t="shared" si="2"/>
        <v>1.9104869066353499E-2</v>
      </c>
      <c r="K90" s="194">
        <f t="shared" si="13"/>
        <v>3.1857307270819799E-2</v>
      </c>
      <c r="L90" s="193">
        <f t="shared" si="26"/>
        <v>-1.2752438204466299E-2</v>
      </c>
      <c r="M90" s="190">
        <f t="shared" si="28"/>
        <v>-8.8343925280069376E-4</v>
      </c>
      <c r="N90" s="191">
        <f t="shared" si="29"/>
        <v>-1.3635877457266993E-2</v>
      </c>
      <c r="O90" s="190">
        <f t="shared" si="30"/>
        <v>0</v>
      </c>
      <c r="P90" s="190">
        <f t="shared" si="31"/>
        <v>0</v>
      </c>
      <c r="Q90" s="190">
        <v>0</v>
      </c>
      <c r="R90" s="191">
        <f t="shared" si="32"/>
        <v>-1.3635877457266993E-2</v>
      </c>
    </row>
    <row r="91" spans="1:18" s="207" customFormat="1" x14ac:dyDescent="0.25">
      <c r="A91" s="148">
        <v>12</v>
      </c>
      <c r="B91" s="205">
        <f t="shared" si="4"/>
        <v>45261</v>
      </c>
      <c r="C91" s="203">
        <f t="shared" si="25"/>
        <v>45294</v>
      </c>
      <c r="D91" s="203">
        <f t="shared" si="25"/>
        <v>45315</v>
      </c>
      <c r="E91" s="206" t="s">
        <v>9</v>
      </c>
      <c r="F91" s="159">
        <v>9</v>
      </c>
      <c r="G91" s="185">
        <v>55</v>
      </c>
      <c r="H91" s="195">
        <f t="shared" si="27"/>
        <v>5.8995013464481114E-4</v>
      </c>
      <c r="I91" s="195">
        <f t="shared" si="22"/>
        <v>3.5379387159913887E-4</v>
      </c>
      <c r="J91" s="196">
        <f t="shared" si="2"/>
        <v>1.9458662937952637E-2</v>
      </c>
      <c r="K91" s="197">
        <f t="shared" si="13"/>
        <v>3.2447257405464613E-2</v>
      </c>
      <c r="L91" s="198">
        <f t="shared" si="26"/>
        <v>-1.2988594467511976E-2</v>
      </c>
      <c r="M91" s="190">
        <f t="shared" si="28"/>
        <v>-8.9979923896366955E-4</v>
      </c>
      <c r="N91" s="191">
        <f t="shared" si="29"/>
        <v>-1.3888393706475646E-2</v>
      </c>
      <c r="O91" s="190">
        <f t="shared" si="30"/>
        <v>0</v>
      </c>
      <c r="P91" s="190">
        <f t="shared" si="31"/>
        <v>0</v>
      </c>
      <c r="Q91" s="190">
        <v>0</v>
      </c>
      <c r="R91" s="191">
        <f t="shared" si="32"/>
        <v>-1.3888393706475646E-2</v>
      </c>
    </row>
    <row r="92" spans="1:18" x14ac:dyDescent="0.25">
      <c r="A92" s="111">
        <v>1</v>
      </c>
      <c r="B92" s="183">
        <f t="shared" si="4"/>
        <v>44927</v>
      </c>
      <c r="C92" s="200">
        <f t="shared" ref="C92:D95" si="33">+C80</f>
        <v>44960</v>
      </c>
      <c r="D92" s="200">
        <f t="shared" si="33"/>
        <v>44981</v>
      </c>
      <c r="E92" s="184" t="s">
        <v>8</v>
      </c>
      <c r="F92" s="111">
        <v>9</v>
      </c>
      <c r="G92" s="185">
        <v>84</v>
      </c>
      <c r="H92" s="186">
        <f>+$K$3</f>
        <v>5.8995013464481114E-4</v>
      </c>
      <c r="I92" s="186">
        <f t="shared" si="22"/>
        <v>3.5379387159913887E-4</v>
      </c>
      <c r="J92" s="187">
        <f t="shared" si="2"/>
        <v>2.9718685214327665E-2</v>
      </c>
      <c r="K92" s="188">
        <f t="shared" si="13"/>
        <v>4.9555811310164136E-2</v>
      </c>
      <c r="L92" s="189">
        <f t="shared" si="26"/>
        <v>-1.9837126095836471E-2</v>
      </c>
      <c r="M92" s="190">
        <f t="shared" si="28"/>
        <v>-1.374238837689968E-3</v>
      </c>
      <c r="N92" s="191">
        <f t="shared" si="29"/>
        <v>-2.121136493352644E-2</v>
      </c>
      <c r="O92" s="190">
        <f t="shared" si="30"/>
        <v>0</v>
      </c>
      <c r="P92" s="190">
        <f t="shared" si="31"/>
        <v>0</v>
      </c>
      <c r="Q92" s="190">
        <v>0</v>
      </c>
      <c r="R92" s="191">
        <f t="shared" si="32"/>
        <v>-2.121136493352644E-2</v>
      </c>
    </row>
    <row r="93" spans="1:18" x14ac:dyDescent="0.25">
      <c r="A93" s="148">
        <v>2</v>
      </c>
      <c r="B93" s="183">
        <f t="shared" si="4"/>
        <v>44958</v>
      </c>
      <c r="C93" s="203">
        <f t="shared" si="33"/>
        <v>44988</v>
      </c>
      <c r="D93" s="203">
        <f t="shared" si="33"/>
        <v>45009</v>
      </c>
      <c r="E93" s="192" t="s">
        <v>8</v>
      </c>
      <c r="F93" s="148">
        <v>9</v>
      </c>
      <c r="G93" s="185">
        <v>83</v>
      </c>
      <c r="H93" s="186">
        <f t="shared" ref="H93:H103" si="34">+$K$3</f>
        <v>5.8995013464481114E-4</v>
      </c>
      <c r="I93" s="186">
        <f t="shared" si="22"/>
        <v>3.5379387159913887E-4</v>
      </c>
      <c r="J93" s="187">
        <f t="shared" si="2"/>
        <v>2.9364891342728527E-2</v>
      </c>
      <c r="K93" s="188">
        <f t="shared" si="13"/>
        <v>4.8965861175519328E-2</v>
      </c>
      <c r="L93" s="189">
        <f t="shared" si="26"/>
        <v>-1.9600969832790801E-2</v>
      </c>
      <c r="M93" s="190">
        <f t="shared" si="28"/>
        <v>-1.3578788515269922E-3</v>
      </c>
      <c r="N93" s="191">
        <f t="shared" si="29"/>
        <v>-2.0958848684317792E-2</v>
      </c>
      <c r="O93" s="190">
        <f t="shared" si="30"/>
        <v>0</v>
      </c>
      <c r="P93" s="190">
        <f t="shared" si="31"/>
        <v>0</v>
      </c>
      <c r="Q93" s="190">
        <v>0</v>
      </c>
      <c r="R93" s="191">
        <f t="shared" si="32"/>
        <v>-2.0958848684317792E-2</v>
      </c>
    </row>
    <row r="94" spans="1:18" x14ac:dyDescent="0.25">
      <c r="A94" s="148">
        <v>3</v>
      </c>
      <c r="B94" s="183">
        <f t="shared" si="4"/>
        <v>44986</v>
      </c>
      <c r="C94" s="203">
        <f t="shared" si="33"/>
        <v>45021</v>
      </c>
      <c r="D94" s="203">
        <f t="shared" si="33"/>
        <v>45040</v>
      </c>
      <c r="E94" s="192" t="s">
        <v>8</v>
      </c>
      <c r="F94" s="148">
        <v>9</v>
      </c>
      <c r="G94" s="185">
        <v>76</v>
      </c>
      <c r="H94" s="186">
        <f t="shared" si="34"/>
        <v>5.8995013464481114E-4</v>
      </c>
      <c r="I94" s="186">
        <f t="shared" si="22"/>
        <v>3.5379387159913887E-4</v>
      </c>
      <c r="J94" s="187">
        <f t="shared" si="2"/>
        <v>2.6888334241534553E-2</v>
      </c>
      <c r="K94" s="188">
        <f t="shared" ref="K94:K133" si="35">+$G94*H94</f>
        <v>4.4836210233005644E-2</v>
      </c>
      <c r="L94" s="189">
        <f>+J94-K94</f>
        <v>-1.7947875991471091E-2</v>
      </c>
      <c r="M94" s="190">
        <f t="shared" si="28"/>
        <v>-1.2433589483861617E-3</v>
      </c>
      <c r="N94" s="191">
        <f t="shared" si="29"/>
        <v>-1.9191234939857253E-2</v>
      </c>
      <c r="O94" s="190">
        <f t="shared" si="30"/>
        <v>0</v>
      </c>
      <c r="P94" s="190">
        <f t="shared" si="31"/>
        <v>0</v>
      </c>
      <c r="Q94" s="190">
        <v>0</v>
      </c>
      <c r="R94" s="191">
        <f t="shared" si="32"/>
        <v>-1.9191234939857253E-2</v>
      </c>
    </row>
    <row r="95" spans="1:18" x14ac:dyDescent="0.25">
      <c r="A95" s="111">
        <v>4</v>
      </c>
      <c r="B95" s="183">
        <f t="shared" si="4"/>
        <v>45017</v>
      </c>
      <c r="C95" s="203">
        <f t="shared" si="33"/>
        <v>45049</v>
      </c>
      <c r="D95" s="203">
        <f t="shared" si="33"/>
        <v>45070</v>
      </c>
      <c r="E95" s="192" t="s">
        <v>8</v>
      </c>
      <c r="F95" s="148">
        <v>9</v>
      </c>
      <c r="G95" s="185">
        <v>69</v>
      </c>
      <c r="H95" s="186">
        <f t="shared" si="34"/>
        <v>5.8995013464481114E-4</v>
      </c>
      <c r="I95" s="186">
        <f t="shared" si="22"/>
        <v>3.5379387159913887E-4</v>
      </c>
      <c r="J95" s="187">
        <f t="shared" si="2"/>
        <v>2.4411777140340582E-2</v>
      </c>
      <c r="K95" s="188">
        <f t="shared" si="35"/>
        <v>4.0706559290491967E-2</v>
      </c>
      <c r="L95" s="189">
        <f t="shared" ref="L95:L105" si="36">+J95-K95</f>
        <v>-1.6294782150151385E-2</v>
      </c>
      <c r="M95" s="190">
        <f t="shared" si="28"/>
        <v>-1.1288390452453309E-3</v>
      </c>
      <c r="N95" s="191">
        <f t="shared" si="29"/>
        <v>-1.7423621195396716E-2</v>
      </c>
      <c r="O95" s="190">
        <f t="shared" si="30"/>
        <v>0</v>
      </c>
      <c r="P95" s="190">
        <f t="shared" si="31"/>
        <v>0</v>
      </c>
      <c r="Q95" s="190">
        <v>0</v>
      </c>
      <c r="R95" s="191">
        <f t="shared" si="32"/>
        <v>-1.7423621195396716E-2</v>
      </c>
    </row>
    <row r="96" spans="1:18" x14ac:dyDescent="0.25">
      <c r="A96" s="148">
        <v>5</v>
      </c>
      <c r="B96" s="183">
        <f t="shared" si="4"/>
        <v>45047</v>
      </c>
      <c r="C96" s="203">
        <f t="shared" ref="C96:D116" si="37">+C84</f>
        <v>45082</v>
      </c>
      <c r="D96" s="203">
        <f t="shared" si="37"/>
        <v>45103</v>
      </c>
      <c r="E96" s="52" t="s">
        <v>8</v>
      </c>
      <c r="F96" s="148">
        <v>9</v>
      </c>
      <c r="G96" s="185">
        <v>99</v>
      </c>
      <c r="H96" s="186">
        <f t="shared" si="34"/>
        <v>5.8995013464481114E-4</v>
      </c>
      <c r="I96" s="186">
        <f t="shared" si="22"/>
        <v>3.5379387159913887E-4</v>
      </c>
      <c r="J96" s="187">
        <f t="shared" si="2"/>
        <v>3.5025593288314748E-2</v>
      </c>
      <c r="K96" s="188">
        <f t="shared" si="35"/>
        <v>5.8405063329836304E-2</v>
      </c>
      <c r="L96" s="189">
        <f t="shared" si="36"/>
        <v>-2.3379470041521556E-2</v>
      </c>
      <c r="M96" s="190">
        <f t="shared" si="28"/>
        <v>-1.6196386301346052E-3</v>
      </c>
      <c r="N96" s="191">
        <f t="shared" si="29"/>
        <v>-2.499910867165616E-2</v>
      </c>
      <c r="O96" s="190">
        <f t="shared" si="30"/>
        <v>0</v>
      </c>
      <c r="P96" s="190">
        <f t="shared" si="31"/>
        <v>0</v>
      </c>
      <c r="Q96" s="190">
        <v>0</v>
      </c>
      <c r="R96" s="191">
        <f t="shared" si="32"/>
        <v>-2.499910867165616E-2</v>
      </c>
    </row>
    <row r="97" spans="1:18" x14ac:dyDescent="0.25">
      <c r="A97" s="148">
        <v>6</v>
      </c>
      <c r="B97" s="183">
        <f t="shared" si="4"/>
        <v>45078</v>
      </c>
      <c r="C97" s="203">
        <f t="shared" si="37"/>
        <v>45112</v>
      </c>
      <c r="D97" s="203">
        <f t="shared" si="37"/>
        <v>45131</v>
      </c>
      <c r="E97" s="52" t="s">
        <v>8</v>
      </c>
      <c r="F97" s="148">
        <v>9</v>
      </c>
      <c r="G97" s="185">
        <v>149</v>
      </c>
      <c r="H97" s="186">
        <f t="shared" si="34"/>
        <v>5.8995013464481114E-4</v>
      </c>
      <c r="I97" s="186">
        <f t="shared" si="22"/>
        <v>3.5379387159913887E-4</v>
      </c>
      <c r="J97" s="187">
        <f t="shared" si="2"/>
        <v>5.2715286868271691E-2</v>
      </c>
      <c r="K97" s="188">
        <f t="shared" si="35"/>
        <v>8.7902570062076857E-2</v>
      </c>
      <c r="L97" s="193">
        <f t="shared" si="36"/>
        <v>-3.5187283193805166E-2</v>
      </c>
      <c r="M97" s="190">
        <f t="shared" si="28"/>
        <v>-2.4376379382833957E-3</v>
      </c>
      <c r="N97" s="191">
        <f t="shared" si="29"/>
        <v>-3.7624921132088561E-2</v>
      </c>
      <c r="O97" s="190">
        <f t="shared" si="30"/>
        <v>0</v>
      </c>
      <c r="P97" s="190">
        <f t="shared" si="31"/>
        <v>0</v>
      </c>
      <c r="Q97" s="190">
        <v>0</v>
      </c>
      <c r="R97" s="191">
        <f t="shared" si="32"/>
        <v>-3.7624921132088561E-2</v>
      </c>
    </row>
    <row r="98" spans="1:18" x14ac:dyDescent="0.25">
      <c r="A98" s="111">
        <v>7</v>
      </c>
      <c r="B98" s="183">
        <f t="shared" si="4"/>
        <v>45108</v>
      </c>
      <c r="C98" s="203">
        <f t="shared" si="37"/>
        <v>45141</v>
      </c>
      <c r="D98" s="203">
        <f t="shared" si="37"/>
        <v>45162</v>
      </c>
      <c r="E98" s="52" t="s">
        <v>8</v>
      </c>
      <c r="F98" s="148">
        <v>9</v>
      </c>
      <c r="G98" s="185">
        <v>148</v>
      </c>
      <c r="H98" s="186">
        <f t="shared" si="34"/>
        <v>5.8995013464481114E-4</v>
      </c>
      <c r="I98" s="186">
        <f t="shared" si="22"/>
        <v>3.5379387159913887E-4</v>
      </c>
      <c r="J98" s="187">
        <f t="shared" si="2"/>
        <v>5.2361492996672553E-2</v>
      </c>
      <c r="K98" s="194">
        <f t="shared" si="35"/>
        <v>8.7312619927432056E-2</v>
      </c>
      <c r="L98" s="193">
        <f t="shared" si="36"/>
        <v>-3.4951126930759503E-2</v>
      </c>
      <c r="M98" s="190">
        <f t="shared" si="28"/>
        <v>-2.4212779521204197E-3</v>
      </c>
      <c r="N98" s="191">
        <f t="shared" si="29"/>
        <v>-3.737240488287992E-2</v>
      </c>
      <c r="O98" s="190">
        <f t="shared" si="30"/>
        <v>0</v>
      </c>
      <c r="P98" s="190">
        <f t="shared" si="31"/>
        <v>0</v>
      </c>
      <c r="Q98" s="190">
        <v>0</v>
      </c>
      <c r="R98" s="191">
        <f t="shared" si="32"/>
        <v>-3.737240488287992E-2</v>
      </c>
    </row>
    <row r="99" spans="1:18" x14ac:dyDescent="0.25">
      <c r="A99" s="148">
        <v>8</v>
      </c>
      <c r="B99" s="183">
        <f t="shared" si="4"/>
        <v>45139</v>
      </c>
      <c r="C99" s="203">
        <f t="shared" si="37"/>
        <v>45174</v>
      </c>
      <c r="D99" s="203">
        <f t="shared" si="37"/>
        <v>45194</v>
      </c>
      <c r="E99" s="52" t="s">
        <v>8</v>
      </c>
      <c r="F99" s="148">
        <v>9</v>
      </c>
      <c r="G99" s="185">
        <v>160</v>
      </c>
      <c r="H99" s="186">
        <f t="shared" si="34"/>
        <v>5.8995013464481114E-4</v>
      </c>
      <c r="I99" s="186">
        <f t="shared" si="22"/>
        <v>3.5379387159913887E-4</v>
      </c>
      <c r="J99" s="187">
        <f t="shared" si="2"/>
        <v>5.6607019455862218E-2</v>
      </c>
      <c r="K99" s="194">
        <f t="shared" si="35"/>
        <v>9.439202154316978E-2</v>
      </c>
      <c r="L99" s="193">
        <f t="shared" si="36"/>
        <v>-3.7785002087307562E-2</v>
      </c>
      <c r="M99" s="190">
        <f t="shared" si="28"/>
        <v>-2.6175977860761297E-3</v>
      </c>
      <c r="N99" s="191">
        <f t="shared" si="29"/>
        <v>-4.0402599873383689E-2</v>
      </c>
      <c r="O99" s="190">
        <f t="shared" si="30"/>
        <v>0</v>
      </c>
      <c r="P99" s="190">
        <f t="shared" si="31"/>
        <v>0</v>
      </c>
      <c r="Q99" s="190">
        <v>0</v>
      </c>
      <c r="R99" s="191">
        <f t="shared" si="32"/>
        <v>-4.0402599873383689E-2</v>
      </c>
    </row>
    <row r="100" spans="1:18" x14ac:dyDescent="0.25">
      <c r="A100" s="148">
        <v>9</v>
      </c>
      <c r="B100" s="183">
        <f t="shared" si="4"/>
        <v>45170</v>
      </c>
      <c r="C100" s="203">
        <f t="shared" si="37"/>
        <v>45203</v>
      </c>
      <c r="D100" s="203">
        <f t="shared" si="37"/>
        <v>45223</v>
      </c>
      <c r="E100" s="52" t="s">
        <v>8</v>
      </c>
      <c r="F100" s="148">
        <v>9</v>
      </c>
      <c r="G100" s="185">
        <v>155</v>
      </c>
      <c r="H100" s="186">
        <f t="shared" si="34"/>
        <v>5.8995013464481114E-4</v>
      </c>
      <c r="I100" s="186">
        <f t="shared" si="22"/>
        <v>3.5379387159913887E-4</v>
      </c>
      <c r="J100" s="187">
        <f t="shared" si="2"/>
        <v>5.4838050097866527E-2</v>
      </c>
      <c r="K100" s="194">
        <f t="shared" si="35"/>
        <v>9.1442270869945733E-2</v>
      </c>
      <c r="L100" s="193">
        <f t="shared" si="36"/>
        <v>-3.6604220772079206E-2</v>
      </c>
      <c r="M100" s="190">
        <f t="shared" si="28"/>
        <v>-2.5357978552612505E-3</v>
      </c>
      <c r="N100" s="191">
        <f t="shared" si="29"/>
        <v>-3.9140018627340456E-2</v>
      </c>
      <c r="O100" s="190">
        <f t="shared" si="30"/>
        <v>0</v>
      </c>
      <c r="P100" s="190">
        <f t="shared" si="31"/>
        <v>0</v>
      </c>
      <c r="Q100" s="190">
        <v>0</v>
      </c>
      <c r="R100" s="191">
        <f t="shared" si="32"/>
        <v>-3.9140018627340456E-2</v>
      </c>
    </row>
    <row r="101" spans="1:18" x14ac:dyDescent="0.25">
      <c r="A101" s="111">
        <v>10</v>
      </c>
      <c r="B101" s="183">
        <f t="shared" si="4"/>
        <v>45200</v>
      </c>
      <c r="C101" s="203">
        <f t="shared" si="37"/>
        <v>45233</v>
      </c>
      <c r="D101" s="203">
        <f t="shared" si="37"/>
        <v>45254</v>
      </c>
      <c r="E101" s="52" t="s">
        <v>8</v>
      </c>
      <c r="F101" s="148">
        <v>9</v>
      </c>
      <c r="G101" s="185">
        <v>110</v>
      </c>
      <c r="H101" s="186">
        <f t="shared" si="34"/>
        <v>5.8995013464481114E-4</v>
      </c>
      <c r="I101" s="186">
        <f t="shared" si="22"/>
        <v>3.5379387159913887E-4</v>
      </c>
      <c r="J101" s="187">
        <f t="shared" si="2"/>
        <v>3.8917325875905275E-2</v>
      </c>
      <c r="K101" s="194">
        <f t="shared" si="35"/>
        <v>6.4894514810929227E-2</v>
      </c>
      <c r="L101" s="193">
        <f t="shared" si="36"/>
        <v>-2.5977188935023952E-2</v>
      </c>
      <c r="M101" s="190">
        <f t="shared" si="28"/>
        <v>-1.7995984779273391E-3</v>
      </c>
      <c r="N101" s="191">
        <f t="shared" si="29"/>
        <v>-2.7776787412951292E-2</v>
      </c>
      <c r="O101" s="190">
        <f t="shared" si="30"/>
        <v>0</v>
      </c>
      <c r="P101" s="190">
        <f t="shared" si="31"/>
        <v>0</v>
      </c>
      <c r="Q101" s="190">
        <v>0</v>
      </c>
      <c r="R101" s="191">
        <f t="shared" si="32"/>
        <v>-2.7776787412951292E-2</v>
      </c>
    </row>
    <row r="102" spans="1:18" x14ac:dyDescent="0.25">
      <c r="A102" s="148">
        <v>11</v>
      </c>
      <c r="B102" s="183">
        <f t="shared" si="4"/>
        <v>45231</v>
      </c>
      <c r="C102" s="203">
        <f t="shared" si="37"/>
        <v>45266</v>
      </c>
      <c r="D102" s="203">
        <f t="shared" si="37"/>
        <v>45285</v>
      </c>
      <c r="E102" s="52" t="s">
        <v>8</v>
      </c>
      <c r="F102" s="148">
        <v>9</v>
      </c>
      <c r="G102" s="185">
        <v>70</v>
      </c>
      <c r="H102" s="186">
        <f t="shared" si="34"/>
        <v>5.8995013464481114E-4</v>
      </c>
      <c r="I102" s="186">
        <f t="shared" si="22"/>
        <v>3.5379387159913887E-4</v>
      </c>
      <c r="J102" s="187">
        <f t="shared" si="2"/>
        <v>2.476557101193972E-2</v>
      </c>
      <c r="K102" s="194">
        <f t="shared" si="35"/>
        <v>4.1296509425136782E-2</v>
      </c>
      <c r="L102" s="193">
        <f t="shared" si="36"/>
        <v>-1.6530938413197062E-2</v>
      </c>
      <c r="M102" s="190">
        <f t="shared" si="28"/>
        <v>-1.1451990314083067E-3</v>
      </c>
      <c r="N102" s="191">
        <f t="shared" si="29"/>
        <v>-1.7676137444605368E-2</v>
      </c>
      <c r="O102" s="190">
        <f t="shared" si="30"/>
        <v>0</v>
      </c>
      <c r="P102" s="190">
        <f t="shared" si="31"/>
        <v>0</v>
      </c>
      <c r="Q102" s="190">
        <v>0</v>
      </c>
      <c r="R102" s="191">
        <f t="shared" si="32"/>
        <v>-1.7676137444605368E-2</v>
      </c>
    </row>
    <row r="103" spans="1:18" s="207" customFormat="1" x14ac:dyDescent="0.25">
      <c r="A103" s="148">
        <v>12</v>
      </c>
      <c r="B103" s="205">
        <f t="shared" si="4"/>
        <v>45261</v>
      </c>
      <c r="C103" s="203">
        <f t="shared" si="37"/>
        <v>45294</v>
      </c>
      <c r="D103" s="203">
        <f t="shared" si="37"/>
        <v>45315</v>
      </c>
      <c r="E103" s="206" t="s">
        <v>8</v>
      </c>
      <c r="F103" s="159">
        <v>9</v>
      </c>
      <c r="G103" s="185">
        <v>66</v>
      </c>
      <c r="H103" s="195">
        <f t="shared" si="34"/>
        <v>5.8995013464481114E-4</v>
      </c>
      <c r="I103" s="195">
        <f t="shared" si="22"/>
        <v>3.5379387159913887E-4</v>
      </c>
      <c r="J103" s="196">
        <f t="shared" si="2"/>
        <v>2.3350395525543164E-2</v>
      </c>
      <c r="K103" s="197">
        <f t="shared" si="35"/>
        <v>3.8936708886557536E-2</v>
      </c>
      <c r="L103" s="198">
        <f t="shared" si="36"/>
        <v>-1.5586313361014372E-2</v>
      </c>
      <c r="M103" s="190">
        <f t="shared" si="28"/>
        <v>-1.0797590867564035E-3</v>
      </c>
      <c r="N103" s="191">
        <f t="shared" si="29"/>
        <v>-1.6666072447770776E-2</v>
      </c>
      <c r="O103" s="190">
        <f t="shared" si="30"/>
        <v>0</v>
      </c>
      <c r="P103" s="190">
        <f t="shared" si="31"/>
        <v>0</v>
      </c>
      <c r="Q103" s="190">
        <v>0</v>
      </c>
      <c r="R103" s="191">
        <f t="shared" si="32"/>
        <v>-1.6666072447770776E-2</v>
      </c>
    </row>
    <row r="104" spans="1:18" x14ac:dyDescent="0.25">
      <c r="A104" s="111">
        <v>1</v>
      </c>
      <c r="B104" s="183">
        <f t="shared" si="4"/>
        <v>44927</v>
      </c>
      <c r="C104" s="200">
        <f t="shared" si="37"/>
        <v>44960</v>
      </c>
      <c r="D104" s="200">
        <f t="shared" si="37"/>
        <v>44981</v>
      </c>
      <c r="E104" s="184" t="s">
        <v>19</v>
      </c>
      <c r="F104" s="111">
        <v>9</v>
      </c>
      <c r="G104" s="185">
        <v>63</v>
      </c>
      <c r="H104" s="186">
        <f>+$K$3</f>
        <v>5.8995013464481114E-4</v>
      </c>
      <c r="I104" s="186">
        <f t="shared" si="22"/>
        <v>3.5379387159913887E-4</v>
      </c>
      <c r="J104" s="187">
        <f t="shared" si="2"/>
        <v>2.228901391074575E-2</v>
      </c>
      <c r="K104" s="188">
        <f t="shared" si="35"/>
        <v>3.7166858482623105E-2</v>
      </c>
      <c r="L104" s="189">
        <f t="shared" si="36"/>
        <v>-1.4877844571877356E-2</v>
      </c>
      <c r="M104" s="190">
        <f t="shared" si="28"/>
        <v>-1.0306791282674759E-3</v>
      </c>
      <c r="N104" s="191">
        <f t="shared" si="29"/>
        <v>-1.5908523700144832E-2</v>
      </c>
      <c r="O104" s="190">
        <f t="shared" si="30"/>
        <v>0</v>
      </c>
      <c r="P104" s="190">
        <f t="shared" si="31"/>
        <v>0</v>
      </c>
      <c r="Q104" s="190">
        <v>0</v>
      </c>
      <c r="R104" s="191">
        <f t="shared" si="32"/>
        <v>-1.5908523700144832E-2</v>
      </c>
    </row>
    <row r="105" spans="1:18" x14ac:dyDescent="0.25">
      <c r="A105" s="148">
        <v>2</v>
      </c>
      <c r="B105" s="183">
        <f t="shared" si="4"/>
        <v>44958</v>
      </c>
      <c r="C105" s="203">
        <f t="shared" si="37"/>
        <v>44988</v>
      </c>
      <c r="D105" s="203">
        <f t="shared" si="37"/>
        <v>45009</v>
      </c>
      <c r="E105" s="192" t="s">
        <v>19</v>
      </c>
      <c r="F105" s="148">
        <v>9</v>
      </c>
      <c r="G105" s="185">
        <v>63</v>
      </c>
      <c r="H105" s="186">
        <f t="shared" ref="H105:H115" si="38">+$K$3</f>
        <v>5.8995013464481114E-4</v>
      </c>
      <c r="I105" s="186">
        <f t="shared" si="22"/>
        <v>3.5379387159913887E-4</v>
      </c>
      <c r="J105" s="187">
        <f t="shared" si="2"/>
        <v>2.228901391074575E-2</v>
      </c>
      <c r="K105" s="188">
        <f t="shared" si="35"/>
        <v>3.7166858482623105E-2</v>
      </c>
      <c r="L105" s="189">
        <f t="shared" si="36"/>
        <v>-1.4877844571877356E-2</v>
      </c>
      <c r="M105" s="190">
        <f t="shared" si="28"/>
        <v>-1.0306791282674759E-3</v>
      </c>
      <c r="N105" s="191">
        <f t="shared" si="29"/>
        <v>-1.5908523700144832E-2</v>
      </c>
      <c r="O105" s="190">
        <f t="shared" si="30"/>
        <v>0</v>
      </c>
      <c r="P105" s="190">
        <f t="shared" si="31"/>
        <v>0</v>
      </c>
      <c r="Q105" s="190">
        <v>0</v>
      </c>
      <c r="R105" s="191">
        <f t="shared" si="32"/>
        <v>-1.5908523700144832E-2</v>
      </c>
    </row>
    <row r="106" spans="1:18" x14ac:dyDescent="0.25">
      <c r="A106" s="148">
        <v>3</v>
      </c>
      <c r="B106" s="183">
        <f t="shared" si="4"/>
        <v>44986</v>
      </c>
      <c r="C106" s="203">
        <f t="shared" si="37"/>
        <v>45021</v>
      </c>
      <c r="D106" s="203">
        <f t="shared" si="37"/>
        <v>45040</v>
      </c>
      <c r="E106" s="192" t="s">
        <v>19</v>
      </c>
      <c r="F106" s="148">
        <v>9</v>
      </c>
      <c r="G106" s="185">
        <v>67</v>
      </c>
      <c r="H106" s="186">
        <f t="shared" si="38"/>
        <v>5.8995013464481114E-4</v>
      </c>
      <c r="I106" s="186">
        <f t="shared" si="22"/>
        <v>3.5379387159913887E-4</v>
      </c>
      <c r="J106" s="187">
        <f t="shared" si="2"/>
        <v>2.3704189397142306E-2</v>
      </c>
      <c r="K106" s="188">
        <f t="shared" si="35"/>
        <v>3.9526659021202344E-2</v>
      </c>
      <c r="L106" s="189">
        <f>+J106-K106</f>
        <v>-1.5822469624060038E-2</v>
      </c>
      <c r="M106" s="190">
        <f t="shared" si="28"/>
        <v>-1.0961190729193793E-3</v>
      </c>
      <c r="N106" s="191">
        <f t="shared" si="29"/>
        <v>-1.6918588696979417E-2</v>
      </c>
      <c r="O106" s="190">
        <f t="shared" si="30"/>
        <v>0</v>
      </c>
      <c r="P106" s="190">
        <f t="shared" si="31"/>
        <v>0</v>
      </c>
      <c r="Q106" s="190">
        <v>0</v>
      </c>
      <c r="R106" s="191">
        <f t="shared" si="32"/>
        <v>-1.6918588696979417E-2</v>
      </c>
    </row>
    <row r="107" spans="1:18" x14ac:dyDescent="0.25">
      <c r="A107" s="111">
        <v>4</v>
      </c>
      <c r="B107" s="183">
        <f t="shared" si="4"/>
        <v>45017</v>
      </c>
      <c r="C107" s="203">
        <f t="shared" si="37"/>
        <v>45049</v>
      </c>
      <c r="D107" s="203">
        <f t="shared" si="37"/>
        <v>45070</v>
      </c>
      <c r="E107" s="52" t="s">
        <v>19</v>
      </c>
      <c r="F107" s="148">
        <v>9</v>
      </c>
      <c r="G107" s="185">
        <v>62</v>
      </c>
      <c r="H107" s="186">
        <f t="shared" si="38"/>
        <v>5.8995013464481114E-4</v>
      </c>
      <c r="I107" s="186">
        <f t="shared" si="22"/>
        <v>3.5379387159913887E-4</v>
      </c>
      <c r="J107" s="187">
        <f t="shared" si="2"/>
        <v>2.1935220039146611E-2</v>
      </c>
      <c r="K107" s="188">
        <f t="shared" si="35"/>
        <v>3.657690834797829E-2</v>
      </c>
      <c r="L107" s="189">
        <f t="shared" ref="L107:L115" si="39">+J107-K107</f>
        <v>-1.4641688308831679E-2</v>
      </c>
      <c r="M107" s="190">
        <f t="shared" si="28"/>
        <v>-1.0143191421045001E-3</v>
      </c>
      <c r="N107" s="191">
        <f t="shared" si="29"/>
        <v>-1.565600745093618E-2</v>
      </c>
      <c r="O107" s="190">
        <f t="shared" si="30"/>
        <v>0</v>
      </c>
      <c r="P107" s="190">
        <f t="shared" si="31"/>
        <v>0</v>
      </c>
      <c r="Q107" s="190">
        <v>0</v>
      </c>
      <c r="R107" s="191">
        <f t="shared" si="32"/>
        <v>-1.565600745093618E-2</v>
      </c>
    </row>
    <row r="108" spans="1:18" x14ac:dyDescent="0.25">
      <c r="A108" s="148">
        <v>5</v>
      </c>
      <c r="B108" s="183">
        <f t="shared" si="4"/>
        <v>45047</v>
      </c>
      <c r="C108" s="203">
        <f t="shared" si="37"/>
        <v>45082</v>
      </c>
      <c r="D108" s="203">
        <f t="shared" si="37"/>
        <v>45103</v>
      </c>
      <c r="E108" s="52" t="s">
        <v>19</v>
      </c>
      <c r="F108" s="148">
        <v>9</v>
      </c>
      <c r="G108" s="185">
        <v>51</v>
      </c>
      <c r="H108" s="186">
        <f t="shared" si="38"/>
        <v>5.8995013464481114E-4</v>
      </c>
      <c r="I108" s="186">
        <f t="shared" ref="I108:I127" si="40">$J$3</f>
        <v>3.5379387159913887E-4</v>
      </c>
      <c r="J108" s="187">
        <f t="shared" si="2"/>
        <v>1.8043487451556081E-2</v>
      </c>
      <c r="K108" s="188">
        <f t="shared" si="35"/>
        <v>3.0087456866885368E-2</v>
      </c>
      <c r="L108" s="189">
        <f t="shared" si="39"/>
        <v>-1.2043969415329286E-2</v>
      </c>
      <c r="M108" s="190">
        <f t="shared" si="28"/>
        <v>-8.3435929431176616E-4</v>
      </c>
      <c r="N108" s="191">
        <f t="shared" si="29"/>
        <v>-1.2878328709641052E-2</v>
      </c>
      <c r="O108" s="190">
        <f t="shared" si="30"/>
        <v>0</v>
      </c>
      <c r="P108" s="190">
        <f t="shared" si="31"/>
        <v>0</v>
      </c>
      <c r="Q108" s="190">
        <v>0</v>
      </c>
      <c r="R108" s="191">
        <f t="shared" si="32"/>
        <v>-1.2878328709641052E-2</v>
      </c>
    </row>
    <row r="109" spans="1:18" x14ac:dyDescent="0.25">
      <c r="A109" s="148">
        <v>6</v>
      </c>
      <c r="B109" s="183">
        <f t="shared" ref="B109:B148" si="41">DATE($R$1,A109,1)</f>
        <v>45078</v>
      </c>
      <c r="C109" s="203">
        <f t="shared" si="37"/>
        <v>45112</v>
      </c>
      <c r="D109" s="203">
        <f t="shared" si="37"/>
        <v>45131</v>
      </c>
      <c r="E109" s="52" t="s">
        <v>19</v>
      </c>
      <c r="F109" s="148">
        <v>9</v>
      </c>
      <c r="G109" s="185">
        <v>67</v>
      </c>
      <c r="H109" s="186">
        <f t="shared" si="38"/>
        <v>5.8995013464481114E-4</v>
      </c>
      <c r="I109" s="186">
        <f t="shared" si="40"/>
        <v>3.5379387159913887E-4</v>
      </c>
      <c r="J109" s="187">
        <f t="shared" ref="J109:J148" si="42">+$G109*I109</f>
        <v>2.3704189397142306E-2</v>
      </c>
      <c r="K109" s="188">
        <f t="shared" si="35"/>
        <v>3.9526659021202344E-2</v>
      </c>
      <c r="L109" s="193">
        <f t="shared" si="39"/>
        <v>-1.5822469624060038E-2</v>
      </c>
      <c r="M109" s="190">
        <f t="shared" si="28"/>
        <v>-1.0961190729193793E-3</v>
      </c>
      <c r="N109" s="191">
        <f t="shared" si="29"/>
        <v>-1.6918588696979417E-2</v>
      </c>
      <c r="O109" s="190">
        <f t="shared" si="30"/>
        <v>0</v>
      </c>
      <c r="P109" s="190">
        <f t="shared" si="31"/>
        <v>0</v>
      </c>
      <c r="Q109" s="190">
        <v>0</v>
      </c>
      <c r="R109" s="191">
        <f t="shared" si="32"/>
        <v>-1.6918588696979417E-2</v>
      </c>
    </row>
    <row r="110" spans="1:18" x14ac:dyDescent="0.25">
      <c r="A110" s="111">
        <v>7</v>
      </c>
      <c r="B110" s="183">
        <f t="shared" si="41"/>
        <v>45108</v>
      </c>
      <c r="C110" s="203">
        <f t="shared" si="37"/>
        <v>45141</v>
      </c>
      <c r="D110" s="203">
        <f t="shared" si="37"/>
        <v>45162</v>
      </c>
      <c r="E110" s="52" t="s">
        <v>19</v>
      </c>
      <c r="F110" s="148">
        <v>9</v>
      </c>
      <c r="G110" s="185">
        <v>66</v>
      </c>
      <c r="H110" s="186">
        <f t="shared" si="38"/>
        <v>5.8995013464481114E-4</v>
      </c>
      <c r="I110" s="186">
        <f t="shared" si="40"/>
        <v>3.5379387159913887E-4</v>
      </c>
      <c r="J110" s="187">
        <f t="shared" si="42"/>
        <v>2.3350395525543164E-2</v>
      </c>
      <c r="K110" s="194">
        <f t="shared" si="35"/>
        <v>3.8936708886557536E-2</v>
      </c>
      <c r="L110" s="193">
        <f t="shared" si="39"/>
        <v>-1.5586313361014372E-2</v>
      </c>
      <c r="M110" s="190">
        <f t="shared" si="28"/>
        <v>-1.0797590867564035E-3</v>
      </c>
      <c r="N110" s="191">
        <f t="shared" si="29"/>
        <v>-1.6666072447770776E-2</v>
      </c>
      <c r="O110" s="190">
        <f t="shared" si="30"/>
        <v>0</v>
      </c>
      <c r="P110" s="190">
        <f t="shared" si="31"/>
        <v>0</v>
      </c>
      <c r="Q110" s="190">
        <v>0</v>
      </c>
      <c r="R110" s="191">
        <f t="shared" si="32"/>
        <v>-1.6666072447770776E-2</v>
      </c>
    </row>
    <row r="111" spans="1:18" x14ac:dyDescent="0.25">
      <c r="A111" s="148">
        <v>8</v>
      </c>
      <c r="B111" s="183">
        <f t="shared" si="41"/>
        <v>45139</v>
      </c>
      <c r="C111" s="203">
        <f t="shared" si="37"/>
        <v>45174</v>
      </c>
      <c r="D111" s="203">
        <f t="shared" si="37"/>
        <v>45194</v>
      </c>
      <c r="E111" s="52" t="s">
        <v>19</v>
      </c>
      <c r="F111" s="148">
        <v>9</v>
      </c>
      <c r="G111" s="185">
        <v>61</v>
      </c>
      <c r="H111" s="186">
        <f t="shared" si="38"/>
        <v>5.8995013464481114E-4</v>
      </c>
      <c r="I111" s="186">
        <f t="shared" si="40"/>
        <v>3.5379387159913887E-4</v>
      </c>
      <c r="J111" s="187">
        <f t="shared" si="42"/>
        <v>2.158142616754747E-2</v>
      </c>
      <c r="K111" s="194">
        <f t="shared" si="35"/>
        <v>3.5986958213333482E-2</v>
      </c>
      <c r="L111" s="193">
        <f t="shared" si="39"/>
        <v>-1.4405532045786013E-2</v>
      </c>
      <c r="M111" s="190">
        <f t="shared" si="28"/>
        <v>-9.9795915594152432E-4</v>
      </c>
      <c r="N111" s="191">
        <f t="shared" si="29"/>
        <v>-1.5403491201727538E-2</v>
      </c>
      <c r="O111" s="190">
        <f t="shared" si="30"/>
        <v>0</v>
      </c>
      <c r="P111" s="190">
        <f t="shared" si="31"/>
        <v>0</v>
      </c>
      <c r="Q111" s="190">
        <v>0</v>
      </c>
      <c r="R111" s="191">
        <f t="shared" si="32"/>
        <v>-1.5403491201727538E-2</v>
      </c>
    </row>
    <row r="112" spans="1:18" x14ac:dyDescent="0.25">
      <c r="A112" s="148">
        <v>9</v>
      </c>
      <c r="B112" s="183">
        <f t="shared" si="41"/>
        <v>45170</v>
      </c>
      <c r="C112" s="203">
        <f t="shared" si="37"/>
        <v>45203</v>
      </c>
      <c r="D112" s="203">
        <f t="shared" si="37"/>
        <v>45223</v>
      </c>
      <c r="E112" s="52" t="s">
        <v>19</v>
      </c>
      <c r="F112" s="148">
        <v>9</v>
      </c>
      <c r="G112" s="185">
        <v>55</v>
      </c>
      <c r="H112" s="186">
        <f t="shared" si="38"/>
        <v>5.8995013464481114E-4</v>
      </c>
      <c r="I112" s="186">
        <f t="shared" si="40"/>
        <v>3.5379387159913887E-4</v>
      </c>
      <c r="J112" s="187">
        <f t="shared" si="42"/>
        <v>1.9458662937952637E-2</v>
      </c>
      <c r="K112" s="194">
        <f t="shared" si="35"/>
        <v>3.2447257405464613E-2</v>
      </c>
      <c r="L112" s="193">
        <f t="shared" si="39"/>
        <v>-1.2988594467511976E-2</v>
      </c>
      <c r="M112" s="190">
        <f t="shared" si="28"/>
        <v>-8.9979923896366955E-4</v>
      </c>
      <c r="N112" s="191">
        <f t="shared" si="29"/>
        <v>-1.3888393706475646E-2</v>
      </c>
      <c r="O112" s="190">
        <f t="shared" si="30"/>
        <v>0</v>
      </c>
      <c r="P112" s="190">
        <f t="shared" si="31"/>
        <v>0</v>
      </c>
      <c r="Q112" s="190">
        <v>0</v>
      </c>
      <c r="R112" s="191">
        <f t="shared" si="32"/>
        <v>-1.3888393706475646E-2</v>
      </c>
    </row>
    <row r="113" spans="1:18" x14ac:dyDescent="0.25">
      <c r="A113" s="111">
        <v>10</v>
      </c>
      <c r="B113" s="183">
        <f t="shared" si="41"/>
        <v>45200</v>
      </c>
      <c r="C113" s="203">
        <f t="shared" si="37"/>
        <v>45233</v>
      </c>
      <c r="D113" s="203">
        <f t="shared" si="37"/>
        <v>45254</v>
      </c>
      <c r="E113" s="52" t="s">
        <v>19</v>
      </c>
      <c r="F113" s="148">
        <v>9</v>
      </c>
      <c r="G113" s="185">
        <v>59</v>
      </c>
      <c r="H113" s="186">
        <f t="shared" si="38"/>
        <v>5.8995013464481114E-4</v>
      </c>
      <c r="I113" s="186">
        <f t="shared" si="40"/>
        <v>3.5379387159913887E-4</v>
      </c>
      <c r="J113" s="187">
        <f t="shared" si="42"/>
        <v>2.0873838424349193E-2</v>
      </c>
      <c r="K113" s="194">
        <f t="shared" si="35"/>
        <v>3.4807057944043859E-2</v>
      </c>
      <c r="L113" s="193">
        <f t="shared" si="39"/>
        <v>-1.3933219519694666E-2</v>
      </c>
      <c r="M113" s="190">
        <f t="shared" si="28"/>
        <v>-9.6523918361557273E-4</v>
      </c>
      <c r="N113" s="191">
        <f t="shared" si="29"/>
        <v>-1.4898458703310238E-2</v>
      </c>
      <c r="O113" s="190">
        <f t="shared" si="30"/>
        <v>0</v>
      </c>
      <c r="P113" s="190">
        <f t="shared" si="31"/>
        <v>0</v>
      </c>
      <c r="Q113" s="190">
        <v>0</v>
      </c>
      <c r="R113" s="191">
        <f t="shared" si="32"/>
        <v>-1.4898458703310238E-2</v>
      </c>
    </row>
    <row r="114" spans="1:18" x14ac:dyDescent="0.25">
      <c r="A114" s="148">
        <v>11</v>
      </c>
      <c r="B114" s="183">
        <f t="shared" si="41"/>
        <v>45231</v>
      </c>
      <c r="C114" s="203">
        <f t="shared" si="37"/>
        <v>45266</v>
      </c>
      <c r="D114" s="203">
        <f t="shared" si="37"/>
        <v>45285</v>
      </c>
      <c r="E114" s="52" t="s">
        <v>19</v>
      </c>
      <c r="F114" s="148">
        <v>9</v>
      </c>
      <c r="G114" s="185">
        <v>63</v>
      </c>
      <c r="H114" s="186">
        <f t="shared" si="38"/>
        <v>5.8995013464481114E-4</v>
      </c>
      <c r="I114" s="186">
        <f t="shared" si="40"/>
        <v>3.5379387159913887E-4</v>
      </c>
      <c r="J114" s="187">
        <f t="shared" si="42"/>
        <v>2.228901391074575E-2</v>
      </c>
      <c r="K114" s="194">
        <f t="shared" si="35"/>
        <v>3.7166858482623105E-2</v>
      </c>
      <c r="L114" s="193">
        <f t="shared" si="39"/>
        <v>-1.4877844571877356E-2</v>
      </c>
      <c r="M114" s="190">
        <f t="shared" si="28"/>
        <v>-1.0306791282674759E-3</v>
      </c>
      <c r="N114" s="191">
        <f t="shared" si="29"/>
        <v>-1.5908523700144832E-2</v>
      </c>
      <c r="O114" s="190">
        <f t="shared" si="30"/>
        <v>0</v>
      </c>
      <c r="P114" s="190">
        <f t="shared" si="31"/>
        <v>0</v>
      </c>
      <c r="Q114" s="190">
        <v>0</v>
      </c>
      <c r="R114" s="191">
        <f t="shared" si="32"/>
        <v>-1.5908523700144832E-2</v>
      </c>
    </row>
    <row r="115" spans="1:18" s="207" customFormat="1" x14ac:dyDescent="0.25">
      <c r="A115" s="148">
        <v>12</v>
      </c>
      <c r="B115" s="205">
        <f t="shared" si="41"/>
        <v>45261</v>
      </c>
      <c r="C115" s="208">
        <f t="shared" si="37"/>
        <v>45294</v>
      </c>
      <c r="D115" s="208">
        <f t="shared" si="37"/>
        <v>45315</v>
      </c>
      <c r="E115" s="206" t="s">
        <v>19</v>
      </c>
      <c r="F115" s="159">
        <v>9</v>
      </c>
      <c r="G115" s="185">
        <v>63</v>
      </c>
      <c r="H115" s="195">
        <f t="shared" si="38"/>
        <v>5.8995013464481114E-4</v>
      </c>
      <c r="I115" s="195">
        <f t="shared" si="40"/>
        <v>3.5379387159913887E-4</v>
      </c>
      <c r="J115" s="196">
        <f t="shared" si="42"/>
        <v>2.228901391074575E-2</v>
      </c>
      <c r="K115" s="197">
        <f t="shared" si="35"/>
        <v>3.7166858482623105E-2</v>
      </c>
      <c r="L115" s="198">
        <f t="shared" si="39"/>
        <v>-1.4877844571877356E-2</v>
      </c>
      <c r="M115" s="190">
        <f t="shared" si="28"/>
        <v>-1.0306791282674759E-3</v>
      </c>
      <c r="N115" s="191">
        <f t="shared" si="29"/>
        <v>-1.5908523700144832E-2</v>
      </c>
      <c r="O115" s="190">
        <f t="shared" si="30"/>
        <v>0</v>
      </c>
      <c r="P115" s="190">
        <f t="shared" si="31"/>
        <v>0</v>
      </c>
      <c r="Q115" s="190">
        <v>0</v>
      </c>
      <c r="R115" s="191">
        <f t="shared" si="32"/>
        <v>-1.5908523700144832E-2</v>
      </c>
    </row>
    <row r="116" spans="1:18" x14ac:dyDescent="0.25">
      <c r="A116" s="111">
        <v>1</v>
      </c>
      <c r="B116" s="183">
        <f t="shared" si="41"/>
        <v>44927</v>
      </c>
      <c r="C116" s="203">
        <f t="shared" si="37"/>
        <v>44960</v>
      </c>
      <c r="D116" s="203">
        <f t="shared" si="37"/>
        <v>44981</v>
      </c>
      <c r="E116" s="184" t="s">
        <v>13</v>
      </c>
      <c r="F116" s="111">
        <v>9</v>
      </c>
      <c r="G116" s="185">
        <v>967</v>
      </c>
      <c r="H116" s="186">
        <f>+$K$3</f>
        <v>5.8995013464481114E-4</v>
      </c>
      <c r="I116" s="186">
        <f t="shared" si="40"/>
        <v>3.5379387159913887E-4</v>
      </c>
      <c r="J116" s="187">
        <f t="shared" si="42"/>
        <v>0.34211867383636729</v>
      </c>
      <c r="K116" s="188">
        <f t="shared" si="35"/>
        <v>0.5704817802015324</v>
      </c>
      <c r="L116" s="189">
        <f>+J116-K116</f>
        <v>-0.2283631063651651</v>
      </c>
      <c r="M116" s="190">
        <f t="shared" si="28"/>
        <v>-1.5820106619597606E-2</v>
      </c>
      <c r="N116" s="191">
        <f t="shared" si="29"/>
        <v>-0.2441832129847627</v>
      </c>
      <c r="O116" s="190">
        <f t="shared" si="30"/>
        <v>0</v>
      </c>
      <c r="P116" s="190">
        <f t="shared" si="31"/>
        <v>0</v>
      </c>
      <c r="Q116" s="190">
        <v>0</v>
      </c>
      <c r="R116" s="191">
        <f t="shared" si="32"/>
        <v>-0.2441832129847627</v>
      </c>
    </row>
    <row r="117" spans="1:18" x14ac:dyDescent="0.25">
      <c r="A117" s="148">
        <v>2</v>
      </c>
      <c r="B117" s="183">
        <f t="shared" si="41"/>
        <v>44958</v>
      </c>
      <c r="C117" s="203">
        <f t="shared" ref="C117:D139" si="43">+C105</f>
        <v>44988</v>
      </c>
      <c r="D117" s="203">
        <f t="shared" si="43"/>
        <v>45009</v>
      </c>
      <c r="E117" s="192" t="s">
        <v>13</v>
      </c>
      <c r="F117" s="148">
        <v>9</v>
      </c>
      <c r="G117" s="185">
        <v>955</v>
      </c>
      <c r="H117" s="186">
        <f t="shared" ref="H117:H127" si="44">+$K$3</f>
        <v>5.8995013464481114E-4</v>
      </c>
      <c r="I117" s="186">
        <f t="shared" si="40"/>
        <v>3.5379387159913887E-4</v>
      </c>
      <c r="J117" s="187">
        <f t="shared" si="42"/>
        <v>0.33787314737717761</v>
      </c>
      <c r="K117" s="188">
        <f t="shared" si="35"/>
        <v>0.56340237858579467</v>
      </c>
      <c r="L117" s="189">
        <f>+J117-K117</f>
        <v>-0.22552923120861706</v>
      </c>
      <c r="M117" s="190">
        <f t="shared" si="28"/>
        <v>-1.5623786785641899E-2</v>
      </c>
      <c r="N117" s="191">
        <f t="shared" si="29"/>
        <v>-0.24115301799425898</v>
      </c>
      <c r="O117" s="190">
        <f t="shared" si="30"/>
        <v>0</v>
      </c>
      <c r="P117" s="190">
        <f t="shared" si="31"/>
        <v>0</v>
      </c>
      <c r="Q117" s="190">
        <v>0</v>
      </c>
      <c r="R117" s="191">
        <f t="shared" si="32"/>
        <v>-0.24115301799425898</v>
      </c>
    </row>
    <row r="118" spans="1:18" x14ac:dyDescent="0.25">
      <c r="A118" s="148">
        <v>3</v>
      </c>
      <c r="B118" s="183">
        <f t="shared" si="41"/>
        <v>44986</v>
      </c>
      <c r="C118" s="203">
        <f t="shared" si="43"/>
        <v>45021</v>
      </c>
      <c r="D118" s="203">
        <f t="shared" si="43"/>
        <v>45040</v>
      </c>
      <c r="E118" s="192" t="s">
        <v>13</v>
      </c>
      <c r="F118" s="148">
        <v>9</v>
      </c>
      <c r="G118" s="185">
        <v>872</v>
      </c>
      <c r="H118" s="186">
        <f t="shared" si="44"/>
        <v>5.8995013464481114E-4</v>
      </c>
      <c r="I118" s="186">
        <f t="shared" si="40"/>
        <v>3.5379387159913887E-4</v>
      </c>
      <c r="J118" s="187">
        <f t="shared" si="42"/>
        <v>0.30850825603444909</v>
      </c>
      <c r="K118" s="188">
        <f t="shared" si="35"/>
        <v>0.5144365174102753</v>
      </c>
      <c r="L118" s="189">
        <f>+J118-K118</f>
        <v>-0.2059282613758262</v>
      </c>
      <c r="M118" s="190">
        <f t="shared" si="28"/>
        <v>-1.4265907934114905E-2</v>
      </c>
      <c r="N118" s="191">
        <f t="shared" si="29"/>
        <v>-0.22019416930994112</v>
      </c>
      <c r="O118" s="190">
        <f t="shared" si="30"/>
        <v>0</v>
      </c>
      <c r="P118" s="190">
        <f t="shared" si="31"/>
        <v>0</v>
      </c>
      <c r="Q118" s="190">
        <v>0</v>
      </c>
      <c r="R118" s="191">
        <f t="shared" si="32"/>
        <v>-0.22019416930994112</v>
      </c>
    </row>
    <row r="119" spans="1:18" x14ac:dyDescent="0.25">
      <c r="A119" s="111">
        <v>4</v>
      </c>
      <c r="B119" s="183">
        <f t="shared" si="41"/>
        <v>45017</v>
      </c>
      <c r="C119" s="203">
        <f t="shared" si="43"/>
        <v>45049</v>
      </c>
      <c r="D119" s="203">
        <f t="shared" si="43"/>
        <v>45070</v>
      </c>
      <c r="E119" s="52" t="s">
        <v>13</v>
      </c>
      <c r="F119" s="148">
        <v>9</v>
      </c>
      <c r="G119" s="185">
        <v>602</v>
      </c>
      <c r="H119" s="186">
        <f t="shared" si="44"/>
        <v>5.8995013464481114E-4</v>
      </c>
      <c r="I119" s="186">
        <f t="shared" si="40"/>
        <v>3.5379387159913887E-4</v>
      </c>
      <c r="J119" s="187">
        <f t="shared" si="42"/>
        <v>0.21298391070268161</v>
      </c>
      <c r="K119" s="188">
        <f t="shared" si="35"/>
        <v>0.35514998105617629</v>
      </c>
      <c r="L119" s="189">
        <f t="shared" ref="L119:L127" si="45">+J119-K119</f>
        <v>-0.14216607035349468</v>
      </c>
      <c r="M119" s="190">
        <f t="shared" si="28"/>
        <v>-9.8487116701114364E-3</v>
      </c>
      <c r="N119" s="191">
        <f t="shared" si="29"/>
        <v>-0.15201478202360613</v>
      </c>
      <c r="O119" s="190">
        <f t="shared" si="30"/>
        <v>0</v>
      </c>
      <c r="P119" s="190">
        <f t="shared" si="31"/>
        <v>0</v>
      </c>
      <c r="Q119" s="190">
        <v>0</v>
      </c>
      <c r="R119" s="191">
        <f t="shared" si="32"/>
        <v>-0.15201478202360613</v>
      </c>
    </row>
    <row r="120" spans="1:18" x14ac:dyDescent="0.25">
      <c r="A120" s="148">
        <v>5</v>
      </c>
      <c r="B120" s="183">
        <f t="shared" si="41"/>
        <v>45047</v>
      </c>
      <c r="C120" s="203">
        <f t="shared" si="43"/>
        <v>45082</v>
      </c>
      <c r="D120" s="203">
        <f t="shared" si="43"/>
        <v>45103</v>
      </c>
      <c r="E120" s="52" t="s">
        <v>13</v>
      </c>
      <c r="F120" s="148">
        <v>9</v>
      </c>
      <c r="G120" s="185">
        <v>711</v>
      </c>
      <c r="H120" s="186">
        <f t="shared" si="44"/>
        <v>5.8995013464481114E-4</v>
      </c>
      <c r="I120" s="186">
        <f t="shared" si="40"/>
        <v>3.5379387159913887E-4</v>
      </c>
      <c r="J120" s="187">
        <f t="shared" si="42"/>
        <v>0.25154744270698776</v>
      </c>
      <c r="K120" s="188">
        <f t="shared" si="35"/>
        <v>0.41945454573246072</v>
      </c>
      <c r="L120" s="189">
        <f t="shared" si="45"/>
        <v>-0.16790710302547296</v>
      </c>
      <c r="M120" s="190">
        <f t="shared" si="28"/>
        <v>-1.1631950161875799E-2</v>
      </c>
      <c r="N120" s="191">
        <f t="shared" si="29"/>
        <v>-0.17953905318734875</v>
      </c>
      <c r="O120" s="190">
        <f t="shared" si="30"/>
        <v>0</v>
      </c>
      <c r="P120" s="190">
        <f t="shared" si="31"/>
        <v>0</v>
      </c>
      <c r="Q120" s="190">
        <v>0</v>
      </c>
      <c r="R120" s="191">
        <f t="shared" si="32"/>
        <v>-0.17953905318734875</v>
      </c>
    </row>
    <row r="121" spans="1:18" x14ac:dyDescent="0.25">
      <c r="A121" s="148">
        <v>6</v>
      </c>
      <c r="B121" s="183">
        <f t="shared" si="41"/>
        <v>45078</v>
      </c>
      <c r="C121" s="203">
        <f t="shared" si="43"/>
        <v>45112</v>
      </c>
      <c r="D121" s="203">
        <f t="shared" si="43"/>
        <v>45131</v>
      </c>
      <c r="E121" s="52" t="s">
        <v>13</v>
      </c>
      <c r="F121" s="148">
        <v>9</v>
      </c>
      <c r="G121" s="185">
        <v>936</v>
      </c>
      <c r="H121" s="186">
        <f t="shared" si="44"/>
        <v>5.8995013464481114E-4</v>
      </c>
      <c r="I121" s="186">
        <f t="shared" si="40"/>
        <v>3.5379387159913887E-4</v>
      </c>
      <c r="J121" s="187">
        <f t="shared" si="42"/>
        <v>0.33115106381679399</v>
      </c>
      <c r="K121" s="188">
        <f t="shared" si="35"/>
        <v>0.55219332602754323</v>
      </c>
      <c r="L121" s="193">
        <f t="shared" si="45"/>
        <v>-0.22104226221074924</v>
      </c>
      <c r="M121" s="190">
        <f t="shared" si="28"/>
        <v>-1.5312947048545359E-2</v>
      </c>
      <c r="N121" s="191">
        <f t="shared" si="29"/>
        <v>-0.2363552092592946</v>
      </c>
      <c r="O121" s="190">
        <f t="shared" si="30"/>
        <v>0</v>
      </c>
      <c r="P121" s="190">
        <f t="shared" si="31"/>
        <v>0</v>
      </c>
      <c r="Q121" s="190">
        <v>0</v>
      </c>
      <c r="R121" s="191">
        <f t="shared" si="32"/>
        <v>-0.2363552092592946</v>
      </c>
    </row>
    <row r="122" spans="1:18" x14ac:dyDescent="0.25">
      <c r="A122" s="111">
        <v>7</v>
      </c>
      <c r="B122" s="183">
        <f t="shared" si="41"/>
        <v>45108</v>
      </c>
      <c r="C122" s="203">
        <f t="shared" si="43"/>
        <v>45141</v>
      </c>
      <c r="D122" s="203">
        <f t="shared" si="43"/>
        <v>45162</v>
      </c>
      <c r="E122" s="52" t="s">
        <v>13</v>
      </c>
      <c r="F122" s="148">
        <v>9</v>
      </c>
      <c r="G122" s="185">
        <v>932</v>
      </c>
      <c r="H122" s="186">
        <f t="shared" si="44"/>
        <v>5.8995013464481114E-4</v>
      </c>
      <c r="I122" s="186">
        <f t="shared" si="40"/>
        <v>3.5379387159913887E-4</v>
      </c>
      <c r="J122" s="187">
        <f t="shared" si="42"/>
        <v>0.32973588833039741</v>
      </c>
      <c r="K122" s="194">
        <f t="shared" si="35"/>
        <v>0.54983352548896403</v>
      </c>
      <c r="L122" s="193">
        <f t="shared" si="45"/>
        <v>-0.22009763715856662</v>
      </c>
      <c r="M122" s="190">
        <f t="shared" si="28"/>
        <v>-1.5247507103893455E-2</v>
      </c>
      <c r="N122" s="191">
        <f t="shared" si="29"/>
        <v>-0.23534514426246006</v>
      </c>
      <c r="O122" s="190">
        <f t="shared" si="30"/>
        <v>0</v>
      </c>
      <c r="P122" s="190">
        <f t="shared" si="31"/>
        <v>0</v>
      </c>
      <c r="Q122" s="190">
        <v>0</v>
      </c>
      <c r="R122" s="191">
        <f t="shared" si="32"/>
        <v>-0.23534514426246006</v>
      </c>
    </row>
    <row r="123" spans="1:18" x14ac:dyDescent="0.25">
      <c r="A123" s="148">
        <v>8</v>
      </c>
      <c r="B123" s="183">
        <f t="shared" si="41"/>
        <v>45139</v>
      </c>
      <c r="C123" s="203">
        <f t="shared" si="43"/>
        <v>45174</v>
      </c>
      <c r="D123" s="203">
        <f t="shared" si="43"/>
        <v>45194</v>
      </c>
      <c r="E123" s="52" t="s">
        <v>13</v>
      </c>
      <c r="F123" s="148">
        <v>9</v>
      </c>
      <c r="G123" s="185">
        <v>1025</v>
      </c>
      <c r="H123" s="186">
        <f t="shared" si="44"/>
        <v>5.8995013464481114E-4</v>
      </c>
      <c r="I123" s="186">
        <f t="shared" si="40"/>
        <v>3.5379387159913887E-4</v>
      </c>
      <c r="J123" s="187">
        <f t="shared" si="42"/>
        <v>0.36263871838911732</v>
      </c>
      <c r="K123" s="194">
        <f t="shared" si="35"/>
        <v>0.60469888801093141</v>
      </c>
      <c r="L123" s="193">
        <f t="shared" si="45"/>
        <v>-0.24206016962181409</v>
      </c>
      <c r="M123" s="190">
        <f t="shared" si="28"/>
        <v>-1.6768985817050205E-2</v>
      </c>
      <c r="N123" s="191">
        <f t="shared" si="29"/>
        <v>-0.25882915543886431</v>
      </c>
      <c r="O123" s="190">
        <f t="shared" si="30"/>
        <v>0</v>
      </c>
      <c r="P123" s="190">
        <f t="shared" si="31"/>
        <v>0</v>
      </c>
      <c r="Q123" s="190">
        <v>0</v>
      </c>
      <c r="R123" s="191">
        <f t="shared" si="32"/>
        <v>-0.25882915543886431</v>
      </c>
    </row>
    <row r="124" spans="1:18" x14ac:dyDescent="0.25">
      <c r="A124" s="148">
        <v>9</v>
      </c>
      <c r="B124" s="183">
        <f t="shared" si="41"/>
        <v>45170</v>
      </c>
      <c r="C124" s="203">
        <f t="shared" si="43"/>
        <v>45203</v>
      </c>
      <c r="D124" s="203">
        <f t="shared" si="43"/>
        <v>45223</v>
      </c>
      <c r="E124" s="52" t="s">
        <v>13</v>
      </c>
      <c r="F124" s="148">
        <v>9</v>
      </c>
      <c r="G124" s="185">
        <v>934</v>
      </c>
      <c r="H124" s="186">
        <f t="shared" si="44"/>
        <v>5.8995013464481114E-4</v>
      </c>
      <c r="I124" s="186">
        <f t="shared" si="40"/>
        <v>3.5379387159913887E-4</v>
      </c>
      <c r="J124" s="187">
        <f t="shared" si="42"/>
        <v>0.3304434760735957</v>
      </c>
      <c r="K124" s="194">
        <f t="shared" si="35"/>
        <v>0.55101342575825363</v>
      </c>
      <c r="L124" s="193">
        <f t="shared" si="45"/>
        <v>-0.22056994968465793</v>
      </c>
      <c r="M124" s="190">
        <f t="shared" si="28"/>
        <v>-1.5280227076219406E-2</v>
      </c>
      <c r="N124" s="191">
        <f t="shared" si="29"/>
        <v>-0.23585017676087733</v>
      </c>
      <c r="O124" s="190">
        <f t="shared" si="30"/>
        <v>0</v>
      </c>
      <c r="P124" s="190">
        <f t="shared" si="31"/>
        <v>0</v>
      </c>
      <c r="Q124" s="190">
        <v>0</v>
      </c>
      <c r="R124" s="191">
        <f t="shared" si="32"/>
        <v>-0.23585017676087733</v>
      </c>
    </row>
    <row r="125" spans="1:18" x14ac:dyDescent="0.25">
      <c r="A125" s="111">
        <v>10</v>
      </c>
      <c r="B125" s="183">
        <f t="shared" si="41"/>
        <v>45200</v>
      </c>
      <c r="C125" s="203">
        <f t="shared" si="43"/>
        <v>45233</v>
      </c>
      <c r="D125" s="203">
        <f t="shared" si="43"/>
        <v>45254</v>
      </c>
      <c r="E125" s="52" t="s">
        <v>13</v>
      </c>
      <c r="F125" s="148">
        <v>9</v>
      </c>
      <c r="G125" s="185">
        <v>700</v>
      </c>
      <c r="H125" s="186">
        <f t="shared" si="44"/>
        <v>5.8995013464481114E-4</v>
      </c>
      <c r="I125" s="186">
        <f t="shared" si="40"/>
        <v>3.5379387159913887E-4</v>
      </c>
      <c r="J125" s="187">
        <f t="shared" si="42"/>
        <v>0.24765571011939722</v>
      </c>
      <c r="K125" s="194">
        <f t="shared" si="35"/>
        <v>0.41296509425136779</v>
      </c>
      <c r="L125" s="193">
        <f t="shared" si="45"/>
        <v>-0.16530938413197058</v>
      </c>
      <c r="M125" s="190">
        <f t="shared" si="28"/>
        <v>-1.1451990314083067E-2</v>
      </c>
      <c r="N125" s="191">
        <f t="shared" si="29"/>
        <v>-0.17676137444605364</v>
      </c>
      <c r="O125" s="190">
        <f t="shared" si="30"/>
        <v>0</v>
      </c>
      <c r="P125" s="190">
        <f t="shared" si="31"/>
        <v>0</v>
      </c>
      <c r="Q125" s="190">
        <v>0</v>
      </c>
      <c r="R125" s="191">
        <f t="shared" si="32"/>
        <v>-0.17676137444605364</v>
      </c>
    </row>
    <row r="126" spans="1:18" x14ac:dyDescent="0.25">
      <c r="A126" s="148">
        <v>11</v>
      </c>
      <c r="B126" s="183">
        <f t="shared" si="41"/>
        <v>45231</v>
      </c>
      <c r="C126" s="203">
        <f t="shared" si="43"/>
        <v>45266</v>
      </c>
      <c r="D126" s="203">
        <f t="shared" si="43"/>
        <v>45285</v>
      </c>
      <c r="E126" s="52" t="s">
        <v>13</v>
      </c>
      <c r="F126" s="148">
        <v>9</v>
      </c>
      <c r="G126" s="185">
        <v>867</v>
      </c>
      <c r="H126" s="186">
        <f t="shared" si="44"/>
        <v>5.8995013464481114E-4</v>
      </c>
      <c r="I126" s="186">
        <f t="shared" si="40"/>
        <v>3.5379387159913887E-4</v>
      </c>
      <c r="J126" s="187">
        <f t="shared" si="42"/>
        <v>0.30673928667645339</v>
      </c>
      <c r="K126" s="194">
        <f t="shared" si="35"/>
        <v>0.51148676673705129</v>
      </c>
      <c r="L126" s="193">
        <f t="shared" si="45"/>
        <v>-0.2047474800605979</v>
      </c>
      <c r="M126" s="190">
        <f t="shared" si="28"/>
        <v>-1.4184108003300028E-2</v>
      </c>
      <c r="N126" s="191">
        <f t="shared" si="29"/>
        <v>-0.21893158806389793</v>
      </c>
      <c r="O126" s="190">
        <f t="shared" si="30"/>
        <v>0</v>
      </c>
      <c r="P126" s="190">
        <f t="shared" si="31"/>
        <v>0</v>
      </c>
      <c r="Q126" s="190">
        <v>0</v>
      </c>
      <c r="R126" s="191">
        <f t="shared" si="32"/>
        <v>-0.21893158806389793</v>
      </c>
    </row>
    <row r="127" spans="1:18" s="207" customFormat="1" x14ac:dyDescent="0.25">
      <c r="A127" s="148">
        <v>12</v>
      </c>
      <c r="B127" s="205">
        <f t="shared" si="41"/>
        <v>45261</v>
      </c>
      <c r="C127" s="208">
        <f t="shared" si="43"/>
        <v>45294</v>
      </c>
      <c r="D127" s="208">
        <f t="shared" si="43"/>
        <v>45315</v>
      </c>
      <c r="E127" s="206" t="s">
        <v>13</v>
      </c>
      <c r="F127" s="159">
        <v>9</v>
      </c>
      <c r="G127" s="185">
        <v>916</v>
      </c>
      <c r="H127" s="195">
        <f t="shared" si="44"/>
        <v>5.8995013464481114E-4</v>
      </c>
      <c r="I127" s="195">
        <f t="shared" si="40"/>
        <v>3.5379387159913887E-4</v>
      </c>
      <c r="J127" s="196">
        <f t="shared" si="42"/>
        <v>0.3240751863848112</v>
      </c>
      <c r="K127" s="197">
        <f t="shared" si="35"/>
        <v>0.54039432333464699</v>
      </c>
      <c r="L127" s="198">
        <f t="shared" si="45"/>
        <v>-0.21631913694983579</v>
      </c>
      <c r="M127" s="190">
        <f t="shared" si="28"/>
        <v>-1.4985747325285842E-2</v>
      </c>
      <c r="N127" s="191">
        <f t="shared" si="29"/>
        <v>-0.23130488427512164</v>
      </c>
      <c r="O127" s="190">
        <f t="shared" si="30"/>
        <v>0</v>
      </c>
      <c r="P127" s="190">
        <f t="shared" si="31"/>
        <v>0</v>
      </c>
      <c r="Q127" s="190">
        <v>0</v>
      </c>
      <c r="R127" s="191">
        <f t="shared" si="32"/>
        <v>-0.23130488427512164</v>
      </c>
    </row>
    <row r="128" spans="1:18" x14ac:dyDescent="0.25">
      <c r="A128" s="111">
        <v>1</v>
      </c>
      <c r="B128" s="183">
        <f t="shared" si="41"/>
        <v>44927</v>
      </c>
      <c r="C128" s="203">
        <f t="shared" si="43"/>
        <v>44960</v>
      </c>
      <c r="D128" s="203">
        <f t="shared" si="43"/>
        <v>44981</v>
      </c>
      <c r="E128" s="184" t="s">
        <v>15</v>
      </c>
      <c r="F128" s="111">
        <v>9</v>
      </c>
      <c r="G128" s="185">
        <v>6</v>
      </c>
      <c r="H128" s="186">
        <f>+$K$3</f>
        <v>5.8995013464481114E-4</v>
      </c>
      <c r="I128" s="186">
        <f t="shared" ref="I128:I147" si="46">$J$3</f>
        <v>3.5379387159913887E-4</v>
      </c>
      <c r="J128" s="187">
        <f t="shared" si="42"/>
        <v>2.1227632295948333E-3</v>
      </c>
      <c r="K128" s="188">
        <f t="shared" si="35"/>
        <v>3.5397008078688671E-3</v>
      </c>
      <c r="L128" s="189">
        <f>+J128-K128</f>
        <v>-1.4169375782740338E-3</v>
      </c>
      <c r="M128" s="190">
        <f t="shared" si="28"/>
        <v>-9.8159916977854847E-5</v>
      </c>
      <c r="N128" s="191">
        <f t="shared" si="29"/>
        <v>-1.5150974952518885E-3</v>
      </c>
      <c r="O128" s="190">
        <f t="shared" si="30"/>
        <v>0</v>
      </c>
      <c r="P128" s="190">
        <f t="shared" si="31"/>
        <v>0</v>
      </c>
      <c r="Q128" s="190">
        <v>0</v>
      </c>
      <c r="R128" s="191">
        <f t="shared" si="32"/>
        <v>-1.5150974952518885E-3</v>
      </c>
    </row>
    <row r="129" spans="1:18" x14ac:dyDescent="0.25">
      <c r="A129" s="148">
        <v>2</v>
      </c>
      <c r="B129" s="183">
        <f t="shared" si="41"/>
        <v>44958</v>
      </c>
      <c r="C129" s="203">
        <f t="shared" si="43"/>
        <v>44988</v>
      </c>
      <c r="D129" s="203">
        <f t="shared" si="43"/>
        <v>45009</v>
      </c>
      <c r="E129" s="192" t="s">
        <v>15</v>
      </c>
      <c r="F129" s="148">
        <v>9</v>
      </c>
      <c r="G129" s="185">
        <v>5</v>
      </c>
      <c r="H129" s="186">
        <f t="shared" ref="H129:H139" si="47">+$K$3</f>
        <v>5.8995013464481114E-4</v>
      </c>
      <c r="I129" s="186">
        <f t="shared" si="46"/>
        <v>3.5379387159913887E-4</v>
      </c>
      <c r="J129" s="187">
        <f t="shared" si="42"/>
        <v>1.7689693579956943E-3</v>
      </c>
      <c r="K129" s="188">
        <f t="shared" si="35"/>
        <v>2.9497506732240556E-3</v>
      </c>
      <c r="L129" s="189">
        <f>+J129-K129</f>
        <v>-1.1807813152283613E-3</v>
      </c>
      <c r="M129" s="190">
        <f t="shared" si="28"/>
        <v>-8.1799930814879053E-5</v>
      </c>
      <c r="N129" s="191">
        <f t="shared" si="29"/>
        <v>-1.2625812460432403E-3</v>
      </c>
      <c r="O129" s="190">
        <f t="shared" si="30"/>
        <v>0</v>
      </c>
      <c r="P129" s="190">
        <f t="shared" si="31"/>
        <v>0</v>
      </c>
      <c r="Q129" s="190">
        <v>0</v>
      </c>
      <c r="R129" s="191">
        <f t="shared" si="32"/>
        <v>-1.2625812460432403E-3</v>
      </c>
    </row>
    <row r="130" spans="1:18" x14ac:dyDescent="0.25">
      <c r="A130" s="148">
        <v>3</v>
      </c>
      <c r="B130" s="183">
        <f t="shared" si="41"/>
        <v>44986</v>
      </c>
      <c r="C130" s="203">
        <f t="shared" si="43"/>
        <v>45021</v>
      </c>
      <c r="D130" s="203">
        <f t="shared" si="43"/>
        <v>45040</v>
      </c>
      <c r="E130" s="192" t="s">
        <v>15</v>
      </c>
      <c r="F130" s="148">
        <v>9</v>
      </c>
      <c r="G130" s="185">
        <v>5</v>
      </c>
      <c r="H130" s="186">
        <f t="shared" si="47"/>
        <v>5.8995013464481114E-4</v>
      </c>
      <c r="I130" s="186">
        <f t="shared" si="46"/>
        <v>3.5379387159913887E-4</v>
      </c>
      <c r="J130" s="187">
        <f t="shared" si="42"/>
        <v>1.7689693579956943E-3</v>
      </c>
      <c r="K130" s="188">
        <f t="shared" si="35"/>
        <v>2.9497506732240556E-3</v>
      </c>
      <c r="L130" s="189">
        <f>+J130-K130</f>
        <v>-1.1807813152283613E-3</v>
      </c>
      <c r="M130" s="190">
        <f t="shared" si="28"/>
        <v>-8.1799930814879053E-5</v>
      </c>
      <c r="N130" s="191">
        <f t="shared" si="29"/>
        <v>-1.2625812460432403E-3</v>
      </c>
      <c r="O130" s="190">
        <f t="shared" si="30"/>
        <v>0</v>
      </c>
      <c r="P130" s="190">
        <f t="shared" si="31"/>
        <v>0</v>
      </c>
      <c r="Q130" s="190">
        <v>0</v>
      </c>
      <c r="R130" s="191">
        <f t="shared" si="32"/>
        <v>-1.2625812460432403E-3</v>
      </c>
    </row>
    <row r="131" spans="1:18" x14ac:dyDescent="0.25">
      <c r="A131" s="111">
        <v>4</v>
      </c>
      <c r="B131" s="183">
        <f t="shared" si="41"/>
        <v>45017</v>
      </c>
      <c r="C131" s="203">
        <f t="shared" si="43"/>
        <v>45049</v>
      </c>
      <c r="D131" s="203">
        <f t="shared" si="43"/>
        <v>45070</v>
      </c>
      <c r="E131" s="192" t="s">
        <v>15</v>
      </c>
      <c r="F131" s="148">
        <v>9</v>
      </c>
      <c r="G131" s="185">
        <v>7</v>
      </c>
      <c r="H131" s="186">
        <f t="shared" si="47"/>
        <v>5.8995013464481114E-4</v>
      </c>
      <c r="I131" s="186">
        <f t="shared" si="46"/>
        <v>3.5379387159913887E-4</v>
      </c>
      <c r="J131" s="187">
        <f t="shared" si="42"/>
        <v>2.4765571011939719E-3</v>
      </c>
      <c r="K131" s="188">
        <f t="shared" si="35"/>
        <v>4.1296509425136777E-3</v>
      </c>
      <c r="L131" s="189">
        <f t="shared" ref="L131:L141" si="48">+J131-K131</f>
        <v>-1.6530938413197058E-3</v>
      </c>
      <c r="M131" s="190">
        <f t="shared" si="28"/>
        <v>-1.1451990314083067E-4</v>
      </c>
      <c r="N131" s="191">
        <f t="shared" si="29"/>
        <v>-1.7676137444605365E-3</v>
      </c>
      <c r="O131" s="190">
        <f t="shared" si="30"/>
        <v>0</v>
      </c>
      <c r="P131" s="190">
        <f t="shared" si="31"/>
        <v>0</v>
      </c>
      <c r="Q131" s="190">
        <v>0</v>
      </c>
      <c r="R131" s="191">
        <f t="shared" si="32"/>
        <v>-1.7676137444605365E-3</v>
      </c>
    </row>
    <row r="132" spans="1:18" x14ac:dyDescent="0.25">
      <c r="A132" s="148">
        <v>5</v>
      </c>
      <c r="B132" s="183">
        <f t="shared" si="41"/>
        <v>45047</v>
      </c>
      <c r="C132" s="203">
        <f t="shared" si="43"/>
        <v>45082</v>
      </c>
      <c r="D132" s="203">
        <f t="shared" si="43"/>
        <v>45103</v>
      </c>
      <c r="E132" s="52" t="s">
        <v>15</v>
      </c>
      <c r="F132" s="148">
        <v>9</v>
      </c>
      <c r="G132" s="185">
        <v>4</v>
      </c>
      <c r="H132" s="186">
        <f t="shared" si="47"/>
        <v>5.8995013464481114E-4</v>
      </c>
      <c r="I132" s="186">
        <f t="shared" si="46"/>
        <v>3.5379387159913887E-4</v>
      </c>
      <c r="J132" s="187">
        <f t="shared" si="42"/>
        <v>1.4151754863965555E-3</v>
      </c>
      <c r="K132" s="188">
        <f t="shared" si="35"/>
        <v>2.3598005385792446E-3</v>
      </c>
      <c r="L132" s="189">
        <f t="shared" si="48"/>
        <v>-9.4462505218268909E-4</v>
      </c>
      <c r="M132" s="190">
        <f t="shared" si="28"/>
        <v>-6.5439944651903231E-5</v>
      </c>
      <c r="N132" s="191">
        <f t="shared" si="29"/>
        <v>-1.0100649968345923E-3</v>
      </c>
      <c r="O132" s="190">
        <f t="shared" si="30"/>
        <v>0</v>
      </c>
      <c r="P132" s="190">
        <f t="shared" si="31"/>
        <v>0</v>
      </c>
      <c r="Q132" s="190">
        <v>0</v>
      </c>
      <c r="R132" s="191">
        <f t="shared" si="32"/>
        <v>-1.0100649968345923E-3</v>
      </c>
    </row>
    <row r="133" spans="1:18" x14ac:dyDescent="0.25">
      <c r="A133" s="148">
        <v>6</v>
      </c>
      <c r="B133" s="183">
        <f t="shared" si="41"/>
        <v>45078</v>
      </c>
      <c r="C133" s="203">
        <f t="shared" si="43"/>
        <v>45112</v>
      </c>
      <c r="D133" s="203">
        <f t="shared" si="43"/>
        <v>45131</v>
      </c>
      <c r="E133" s="52" t="s">
        <v>15</v>
      </c>
      <c r="F133" s="148">
        <v>9</v>
      </c>
      <c r="G133" s="185">
        <v>14</v>
      </c>
      <c r="H133" s="186">
        <f t="shared" si="47"/>
        <v>5.8995013464481114E-4</v>
      </c>
      <c r="I133" s="186">
        <f t="shared" si="46"/>
        <v>3.5379387159913887E-4</v>
      </c>
      <c r="J133" s="187">
        <f t="shared" si="42"/>
        <v>4.9531142023879439E-3</v>
      </c>
      <c r="K133" s="188">
        <f t="shared" si="35"/>
        <v>8.2593018850273554E-3</v>
      </c>
      <c r="L133" s="193">
        <f t="shared" si="48"/>
        <v>-3.3061876826394115E-3</v>
      </c>
      <c r="M133" s="190">
        <f t="shared" si="28"/>
        <v>-2.2903980628166134E-4</v>
      </c>
      <c r="N133" s="191">
        <f t="shared" si="29"/>
        <v>-3.5352274889210731E-3</v>
      </c>
      <c r="O133" s="190">
        <f t="shared" si="30"/>
        <v>0</v>
      </c>
      <c r="P133" s="190">
        <f t="shared" si="31"/>
        <v>0</v>
      </c>
      <c r="Q133" s="190">
        <v>0</v>
      </c>
      <c r="R133" s="191">
        <f t="shared" si="32"/>
        <v>-3.5352274889210731E-3</v>
      </c>
    </row>
    <row r="134" spans="1:18" x14ac:dyDescent="0.25">
      <c r="A134" s="111">
        <v>7</v>
      </c>
      <c r="B134" s="183">
        <f t="shared" si="41"/>
        <v>45108</v>
      </c>
      <c r="C134" s="203">
        <f t="shared" si="43"/>
        <v>45141</v>
      </c>
      <c r="D134" s="203">
        <f t="shared" si="43"/>
        <v>45162</v>
      </c>
      <c r="E134" s="52" t="s">
        <v>15</v>
      </c>
      <c r="F134" s="148">
        <v>9</v>
      </c>
      <c r="G134" s="185">
        <v>13</v>
      </c>
      <c r="H134" s="186">
        <f t="shared" si="47"/>
        <v>5.8995013464481114E-4</v>
      </c>
      <c r="I134" s="186">
        <f t="shared" si="46"/>
        <v>3.5379387159913887E-4</v>
      </c>
      <c r="J134" s="187">
        <f t="shared" si="42"/>
        <v>4.5993203307888057E-3</v>
      </c>
      <c r="K134" s="194">
        <f t="shared" ref="K134:K197" si="49">+$G134*H134</f>
        <v>7.6693517503825448E-3</v>
      </c>
      <c r="L134" s="193">
        <f t="shared" si="48"/>
        <v>-3.0700314195937391E-3</v>
      </c>
      <c r="M134" s="190">
        <f t="shared" si="28"/>
        <v>-2.1267982011868549E-4</v>
      </c>
      <c r="N134" s="191">
        <f t="shared" si="29"/>
        <v>-3.2827112397124246E-3</v>
      </c>
      <c r="O134" s="190">
        <f t="shared" si="30"/>
        <v>0</v>
      </c>
      <c r="P134" s="190">
        <f t="shared" si="31"/>
        <v>0</v>
      </c>
      <c r="Q134" s="190">
        <v>0</v>
      </c>
      <c r="R134" s="191">
        <f t="shared" si="32"/>
        <v>-3.2827112397124246E-3</v>
      </c>
    </row>
    <row r="135" spans="1:18" x14ac:dyDescent="0.25">
      <c r="A135" s="148">
        <v>8</v>
      </c>
      <c r="B135" s="183">
        <f t="shared" si="41"/>
        <v>45139</v>
      </c>
      <c r="C135" s="203">
        <f t="shared" si="43"/>
        <v>45174</v>
      </c>
      <c r="D135" s="203">
        <f t="shared" si="43"/>
        <v>45194</v>
      </c>
      <c r="E135" s="52" t="s">
        <v>15</v>
      </c>
      <c r="F135" s="148">
        <v>9</v>
      </c>
      <c r="G135" s="185">
        <v>19</v>
      </c>
      <c r="H135" s="186">
        <f t="shared" si="47"/>
        <v>5.8995013464481114E-4</v>
      </c>
      <c r="I135" s="186">
        <f t="shared" si="46"/>
        <v>3.5379387159913887E-4</v>
      </c>
      <c r="J135" s="187">
        <f t="shared" si="42"/>
        <v>6.7220835603836382E-3</v>
      </c>
      <c r="K135" s="194">
        <f t="shared" si="49"/>
        <v>1.1209052558251411E-2</v>
      </c>
      <c r="L135" s="193">
        <f t="shared" si="48"/>
        <v>-4.4869689978677728E-3</v>
      </c>
      <c r="M135" s="190">
        <f t="shared" si="28"/>
        <v>-3.1083973709654042E-4</v>
      </c>
      <c r="N135" s="191">
        <f t="shared" si="29"/>
        <v>-4.7978087349643131E-3</v>
      </c>
      <c r="O135" s="190">
        <f t="shared" si="30"/>
        <v>0</v>
      </c>
      <c r="P135" s="190">
        <f t="shared" si="31"/>
        <v>0</v>
      </c>
      <c r="Q135" s="190">
        <v>0</v>
      </c>
      <c r="R135" s="191">
        <f t="shared" si="32"/>
        <v>-4.7978087349643131E-3</v>
      </c>
    </row>
    <row r="136" spans="1:18" x14ac:dyDescent="0.25">
      <c r="A136" s="148">
        <v>9</v>
      </c>
      <c r="B136" s="183">
        <f t="shared" si="41"/>
        <v>45170</v>
      </c>
      <c r="C136" s="203">
        <f t="shared" si="43"/>
        <v>45203</v>
      </c>
      <c r="D136" s="203">
        <f t="shared" si="43"/>
        <v>45223</v>
      </c>
      <c r="E136" s="52" t="s">
        <v>15</v>
      </c>
      <c r="F136" s="148">
        <v>9</v>
      </c>
      <c r="G136" s="185">
        <v>18</v>
      </c>
      <c r="H136" s="186">
        <f t="shared" si="47"/>
        <v>5.8995013464481114E-4</v>
      </c>
      <c r="I136" s="186">
        <f t="shared" si="46"/>
        <v>3.5379387159913887E-4</v>
      </c>
      <c r="J136" s="187">
        <f t="shared" si="42"/>
        <v>6.3682896887845E-3</v>
      </c>
      <c r="K136" s="194">
        <f t="shared" si="49"/>
        <v>1.0619102423606601E-2</v>
      </c>
      <c r="L136" s="193">
        <f t="shared" si="48"/>
        <v>-4.2508127348221013E-3</v>
      </c>
      <c r="M136" s="190">
        <f t="shared" si="28"/>
        <v>-2.9447975093356457E-4</v>
      </c>
      <c r="N136" s="191">
        <f t="shared" si="29"/>
        <v>-4.545292485755666E-3</v>
      </c>
      <c r="O136" s="190">
        <f t="shared" si="30"/>
        <v>0</v>
      </c>
      <c r="P136" s="190">
        <f t="shared" si="31"/>
        <v>0</v>
      </c>
      <c r="Q136" s="190">
        <v>0</v>
      </c>
      <c r="R136" s="191">
        <f t="shared" si="32"/>
        <v>-4.545292485755666E-3</v>
      </c>
    </row>
    <row r="137" spans="1:18" x14ac:dyDescent="0.25">
      <c r="A137" s="111">
        <v>10</v>
      </c>
      <c r="B137" s="183">
        <f t="shared" si="41"/>
        <v>45200</v>
      </c>
      <c r="C137" s="203">
        <f t="shared" si="43"/>
        <v>45233</v>
      </c>
      <c r="D137" s="203">
        <f t="shared" si="43"/>
        <v>45254</v>
      </c>
      <c r="E137" s="52" t="s">
        <v>15</v>
      </c>
      <c r="F137" s="148">
        <v>9</v>
      </c>
      <c r="G137" s="185">
        <v>6</v>
      </c>
      <c r="H137" s="186">
        <f t="shared" si="47"/>
        <v>5.8995013464481114E-4</v>
      </c>
      <c r="I137" s="186">
        <f t="shared" si="46"/>
        <v>3.5379387159913887E-4</v>
      </c>
      <c r="J137" s="187">
        <f t="shared" si="42"/>
        <v>2.1227632295948333E-3</v>
      </c>
      <c r="K137" s="194">
        <f t="shared" si="49"/>
        <v>3.5397008078688671E-3</v>
      </c>
      <c r="L137" s="193">
        <f t="shared" si="48"/>
        <v>-1.4169375782740338E-3</v>
      </c>
      <c r="M137" s="190">
        <f t="shared" si="28"/>
        <v>-9.8159916977854847E-5</v>
      </c>
      <c r="N137" s="191">
        <f t="shared" si="29"/>
        <v>-1.5150974952518885E-3</v>
      </c>
      <c r="O137" s="190">
        <f t="shared" si="30"/>
        <v>0</v>
      </c>
      <c r="P137" s="190">
        <f t="shared" si="31"/>
        <v>0</v>
      </c>
      <c r="Q137" s="190">
        <v>0</v>
      </c>
      <c r="R137" s="191">
        <f t="shared" si="32"/>
        <v>-1.5150974952518885E-3</v>
      </c>
    </row>
    <row r="138" spans="1:18" x14ac:dyDescent="0.25">
      <c r="A138" s="148">
        <v>11</v>
      </c>
      <c r="B138" s="183">
        <f t="shared" si="41"/>
        <v>45231</v>
      </c>
      <c r="C138" s="203">
        <f t="shared" si="43"/>
        <v>45266</v>
      </c>
      <c r="D138" s="203">
        <f t="shared" si="43"/>
        <v>45285</v>
      </c>
      <c r="E138" s="52" t="s">
        <v>15</v>
      </c>
      <c r="F138" s="148">
        <v>9</v>
      </c>
      <c r="G138" s="185">
        <v>6</v>
      </c>
      <c r="H138" s="186">
        <f t="shared" si="47"/>
        <v>5.8995013464481114E-4</v>
      </c>
      <c r="I138" s="186">
        <f t="shared" si="46"/>
        <v>3.5379387159913887E-4</v>
      </c>
      <c r="J138" s="187">
        <f t="shared" si="42"/>
        <v>2.1227632295948333E-3</v>
      </c>
      <c r="K138" s="194">
        <f t="shared" si="49"/>
        <v>3.5397008078688671E-3</v>
      </c>
      <c r="L138" s="193">
        <f t="shared" si="48"/>
        <v>-1.4169375782740338E-3</v>
      </c>
      <c r="M138" s="190">
        <f t="shared" si="28"/>
        <v>-9.8159916977854847E-5</v>
      </c>
      <c r="N138" s="191">
        <f t="shared" si="29"/>
        <v>-1.5150974952518885E-3</v>
      </c>
      <c r="O138" s="190">
        <f t="shared" si="30"/>
        <v>0</v>
      </c>
      <c r="P138" s="190">
        <f t="shared" si="31"/>
        <v>0</v>
      </c>
      <c r="Q138" s="190">
        <v>0</v>
      </c>
      <c r="R138" s="191">
        <f t="shared" si="32"/>
        <v>-1.5150974952518885E-3</v>
      </c>
    </row>
    <row r="139" spans="1:18" s="207" customFormat="1" x14ac:dyDescent="0.25">
      <c r="A139" s="148">
        <v>12</v>
      </c>
      <c r="B139" s="205">
        <f t="shared" si="41"/>
        <v>45261</v>
      </c>
      <c r="C139" s="203">
        <f t="shared" si="43"/>
        <v>45294</v>
      </c>
      <c r="D139" s="203">
        <f t="shared" si="43"/>
        <v>45315</v>
      </c>
      <c r="E139" s="206" t="s">
        <v>15</v>
      </c>
      <c r="F139" s="159">
        <v>9</v>
      </c>
      <c r="G139" s="185">
        <v>5</v>
      </c>
      <c r="H139" s="195">
        <f t="shared" si="47"/>
        <v>5.8995013464481114E-4</v>
      </c>
      <c r="I139" s="195">
        <f t="shared" si="46"/>
        <v>3.5379387159913887E-4</v>
      </c>
      <c r="J139" s="196">
        <f t="shared" si="42"/>
        <v>1.7689693579956943E-3</v>
      </c>
      <c r="K139" s="197">
        <f t="shared" si="49"/>
        <v>2.9497506732240556E-3</v>
      </c>
      <c r="L139" s="198">
        <f t="shared" si="48"/>
        <v>-1.1807813152283613E-3</v>
      </c>
      <c r="M139" s="190">
        <f t="shared" si="28"/>
        <v>-8.1799930814879053E-5</v>
      </c>
      <c r="N139" s="191">
        <f t="shared" si="29"/>
        <v>-1.2625812460432403E-3</v>
      </c>
      <c r="O139" s="190">
        <f t="shared" si="30"/>
        <v>0</v>
      </c>
      <c r="P139" s="190">
        <f t="shared" si="31"/>
        <v>0</v>
      </c>
      <c r="Q139" s="190">
        <v>0</v>
      </c>
      <c r="R139" s="191">
        <f t="shared" si="32"/>
        <v>-1.2625812460432403E-3</v>
      </c>
    </row>
    <row r="140" spans="1:18" x14ac:dyDescent="0.25">
      <c r="A140" s="111">
        <v>1</v>
      </c>
      <c r="B140" s="183">
        <f t="shared" si="41"/>
        <v>44927</v>
      </c>
      <c r="C140" s="200">
        <f t="shared" ref="C140:D151" si="50">+C128</f>
        <v>44960</v>
      </c>
      <c r="D140" s="200">
        <f t="shared" si="50"/>
        <v>44981</v>
      </c>
      <c r="E140" s="210" t="s">
        <v>16</v>
      </c>
      <c r="F140" s="148">
        <v>9</v>
      </c>
      <c r="G140" s="185">
        <v>4</v>
      </c>
      <c r="H140" s="186">
        <f>+$K$3</f>
        <v>5.8995013464481114E-4</v>
      </c>
      <c r="I140" s="186">
        <f t="shared" si="46"/>
        <v>3.5379387159913887E-4</v>
      </c>
      <c r="J140" s="187">
        <f t="shared" si="42"/>
        <v>1.4151754863965555E-3</v>
      </c>
      <c r="K140" s="188">
        <f t="shared" si="49"/>
        <v>2.3598005385792446E-3</v>
      </c>
      <c r="L140" s="189">
        <f t="shared" si="48"/>
        <v>-9.4462505218268909E-4</v>
      </c>
      <c r="M140" s="190">
        <f t="shared" si="28"/>
        <v>-6.5439944651903231E-5</v>
      </c>
      <c r="N140" s="191">
        <f t="shared" si="29"/>
        <v>-1.0100649968345923E-3</v>
      </c>
      <c r="O140" s="190">
        <f t="shared" si="30"/>
        <v>0</v>
      </c>
      <c r="P140" s="190">
        <f t="shared" si="31"/>
        <v>0</v>
      </c>
      <c r="Q140" s="190">
        <v>0</v>
      </c>
      <c r="R140" s="191">
        <f t="shared" si="32"/>
        <v>-1.0100649968345923E-3</v>
      </c>
    </row>
    <row r="141" spans="1:18" x14ac:dyDescent="0.25">
      <c r="A141" s="148">
        <v>2</v>
      </c>
      <c r="B141" s="183">
        <f t="shared" si="41"/>
        <v>44958</v>
      </c>
      <c r="C141" s="203">
        <f t="shared" si="50"/>
        <v>44988</v>
      </c>
      <c r="D141" s="203">
        <f t="shared" si="50"/>
        <v>45009</v>
      </c>
      <c r="E141" s="52" t="s">
        <v>16</v>
      </c>
      <c r="F141" s="148">
        <v>9</v>
      </c>
      <c r="G141" s="185">
        <v>5</v>
      </c>
      <c r="H141" s="186">
        <f t="shared" ref="H141:H151" si="51">+$K$3</f>
        <v>5.8995013464481114E-4</v>
      </c>
      <c r="I141" s="186">
        <f t="shared" si="46"/>
        <v>3.5379387159913887E-4</v>
      </c>
      <c r="J141" s="187">
        <f t="shared" si="42"/>
        <v>1.7689693579956943E-3</v>
      </c>
      <c r="K141" s="188">
        <f t="shared" si="49"/>
        <v>2.9497506732240556E-3</v>
      </c>
      <c r="L141" s="189">
        <f t="shared" si="48"/>
        <v>-1.1807813152283613E-3</v>
      </c>
      <c r="M141" s="190">
        <f t="shared" si="28"/>
        <v>-8.1799930814879053E-5</v>
      </c>
      <c r="N141" s="191">
        <f t="shared" si="29"/>
        <v>-1.2625812460432403E-3</v>
      </c>
      <c r="O141" s="190">
        <f t="shared" si="30"/>
        <v>0</v>
      </c>
      <c r="P141" s="190">
        <f t="shared" si="31"/>
        <v>0</v>
      </c>
      <c r="Q141" s="190">
        <v>0</v>
      </c>
      <c r="R141" s="191">
        <f t="shared" si="32"/>
        <v>-1.2625812460432403E-3</v>
      </c>
    </row>
    <row r="142" spans="1:18" x14ac:dyDescent="0.25">
      <c r="A142" s="148">
        <v>3</v>
      </c>
      <c r="B142" s="183">
        <f t="shared" si="41"/>
        <v>44986</v>
      </c>
      <c r="C142" s="203">
        <f t="shared" si="50"/>
        <v>45021</v>
      </c>
      <c r="D142" s="203">
        <f t="shared" si="50"/>
        <v>45040</v>
      </c>
      <c r="E142" s="52" t="s">
        <v>16</v>
      </c>
      <c r="F142" s="148">
        <v>9</v>
      </c>
      <c r="G142" s="185">
        <v>1</v>
      </c>
      <c r="H142" s="186">
        <f t="shared" si="51"/>
        <v>5.8995013464481114E-4</v>
      </c>
      <c r="I142" s="186">
        <f t="shared" si="46"/>
        <v>3.5379387159913887E-4</v>
      </c>
      <c r="J142" s="187">
        <f t="shared" si="42"/>
        <v>3.5379387159913887E-4</v>
      </c>
      <c r="K142" s="188">
        <f t="shared" si="49"/>
        <v>5.8995013464481114E-4</v>
      </c>
      <c r="L142" s="189">
        <f>+J142-K142</f>
        <v>-2.3615626304567227E-4</v>
      </c>
      <c r="M142" s="190">
        <f t="shared" si="28"/>
        <v>-1.6359986162975808E-5</v>
      </c>
      <c r="N142" s="191">
        <f t="shared" si="29"/>
        <v>-2.5251624920864807E-4</v>
      </c>
      <c r="O142" s="190">
        <f t="shared" si="30"/>
        <v>0</v>
      </c>
      <c r="P142" s="190">
        <f t="shared" si="31"/>
        <v>0</v>
      </c>
      <c r="Q142" s="190">
        <v>0</v>
      </c>
      <c r="R142" s="191">
        <f t="shared" si="32"/>
        <v>-2.5251624920864807E-4</v>
      </c>
    </row>
    <row r="143" spans="1:18" x14ac:dyDescent="0.25">
      <c r="A143" s="111">
        <v>4</v>
      </c>
      <c r="B143" s="183">
        <f t="shared" si="41"/>
        <v>45017</v>
      </c>
      <c r="C143" s="203">
        <f t="shared" si="50"/>
        <v>45049</v>
      </c>
      <c r="D143" s="203">
        <f t="shared" si="50"/>
        <v>45070</v>
      </c>
      <c r="E143" s="52" t="s">
        <v>16</v>
      </c>
      <c r="F143" s="148">
        <v>9</v>
      </c>
      <c r="G143" s="185">
        <v>7</v>
      </c>
      <c r="H143" s="186">
        <f t="shared" si="51"/>
        <v>5.8995013464481114E-4</v>
      </c>
      <c r="I143" s="186">
        <f t="shared" si="46"/>
        <v>3.5379387159913887E-4</v>
      </c>
      <c r="J143" s="187">
        <f t="shared" si="42"/>
        <v>2.4765571011939719E-3</v>
      </c>
      <c r="K143" s="188">
        <f t="shared" si="49"/>
        <v>4.1296509425136777E-3</v>
      </c>
      <c r="L143" s="189">
        <f t="shared" ref="L143:L153" si="52">+J143-K143</f>
        <v>-1.6530938413197058E-3</v>
      </c>
      <c r="M143" s="190">
        <f t="shared" si="28"/>
        <v>-1.1451990314083067E-4</v>
      </c>
      <c r="N143" s="191">
        <f t="shared" si="29"/>
        <v>-1.7676137444605365E-3</v>
      </c>
      <c r="O143" s="190">
        <f t="shared" si="30"/>
        <v>0</v>
      </c>
      <c r="P143" s="190">
        <f t="shared" si="31"/>
        <v>0</v>
      </c>
      <c r="Q143" s="190">
        <v>0</v>
      </c>
      <c r="R143" s="191">
        <f t="shared" si="32"/>
        <v>-1.7676137444605365E-3</v>
      </c>
    </row>
    <row r="144" spans="1:18" x14ac:dyDescent="0.25">
      <c r="A144" s="148">
        <v>5</v>
      </c>
      <c r="B144" s="183">
        <f t="shared" si="41"/>
        <v>45047</v>
      </c>
      <c r="C144" s="203">
        <f t="shared" si="50"/>
        <v>45082</v>
      </c>
      <c r="D144" s="203">
        <f t="shared" si="50"/>
        <v>45103</v>
      </c>
      <c r="E144" s="52" t="s">
        <v>16</v>
      </c>
      <c r="F144" s="148">
        <v>9</v>
      </c>
      <c r="G144" s="185">
        <v>3</v>
      </c>
      <c r="H144" s="186">
        <f t="shared" si="51"/>
        <v>5.8995013464481114E-4</v>
      </c>
      <c r="I144" s="186">
        <f t="shared" si="46"/>
        <v>3.5379387159913887E-4</v>
      </c>
      <c r="J144" s="187">
        <f t="shared" si="42"/>
        <v>1.0613816147974167E-3</v>
      </c>
      <c r="K144" s="188">
        <f t="shared" si="49"/>
        <v>1.7698504039344335E-3</v>
      </c>
      <c r="L144" s="189">
        <f t="shared" si="52"/>
        <v>-7.0846878913701688E-4</v>
      </c>
      <c r="M144" s="190">
        <f t="shared" si="28"/>
        <v>-4.9079958488927424E-5</v>
      </c>
      <c r="N144" s="191">
        <f t="shared" si="29"/>
        <v>-7.5754874762594426E-4</v>
      </c>
      <c r="O144" s="190">
        <f t="shared" si="30"/>
        <v>0</v>
      </c>
      <c r="P144" s="190">
        <f t="shared" si="31"/>
        <v>0</v>
      </c>
      <c r="Q144" s="190">
        <v>0</v>
      </c>
      <c r="R144" s="191">
        <f t="shared" si="32"/>
        <v>-7.5754874762594426E-4</v>
      </c>
    </row>
    <row r="145" spans="1:19" x14ac:dyDescent="0.25">
      <c r="A145" s="148">
        <v>6</v>
      </c>
      <c r="B145" s="183">
        <f t="shared" si="41"/>
        <v>45078</v>
      </c>
      <c r="C145" s="203">
        <f t="shared" si="50"/>
        <v>45112</v>
      </c>
      <c r="D145" s="203">
        <f t="shared" si="50"/>
        <v>45131</v>
      </c>
      <c r="E145" s="52" t="s">
        <v>16</v>
      </c>
      <c r="F145" s="148">
        <v>9</v>
      </c>
      <c r="G145" s="185">
        <v>7</v>
      </c>
      <c r="H145" s="186">
        <f t="shared" si="51"/>
        <v>5.8995013464481114E-4</v>
      </c>
      <c r="I145" s="186">
        <f t="shared" si="46"/>
        <v>3.5379387159913887E-4</v>
      </c>
      <c r="J145" s="187">
        <f t="shared" si="42"/>
        <v>2.4765571011939719E-3</v>
      </c>
      <c r="K145" s="188">
        <f t="shared" si="49"/>
        <v>4.1296509425136777E-3</v>
      </c>
      <c r="L145" s="193">
        <f t="shared" si="52"/>
        <v>-1.6530938413197058E-3</v>
      </c>
      <c r="M145" s="190">
        <f t="shared" si="28"/>
        <v>-1.1451990314083067E-4</v>
      </c>
      <c r="N145" s="191">
        <f t="shared" si="29"/>
        <v>-1.7676137444605365E-3</v>
      </c>
      <c r="O145" s="190">
        <f t="shared" si="30"/>
        <v>0</v>
      </c>
      <c r="P145" s="190">
        <f t="shared" si="31"/>
        <v>0</v>
      </c>
      <c r="Q145" s="190">
        <v>0</v>
      </c>
      <c r="R145" s="191">
        <f t="shared" si="32"/>
        <v>-1.7676137444605365E-3</v>
      </c>
    </row>
    <row r="146" spans="1:19" x14ac:dyDescent="0.25">
      <c r="A146" s="111">
        <v>7</v>
      </c>
      <c r="B146" s="183">
        <f t="shared" si="41"/>
        <v>45108</v>
      </c>
      <c r="C146" s="203">
        <f t="shared" si="50"/>
        <v>45141</v>
      </c>
      <c r="D146" s="203">
        <f t="shared" si="50"/>
        <v>45162</v>
      </c>
      <c r="E146" s="52" t="s">
        <v>16</v>
      </c>
      <c r="F146" s="148">
        <v>9</v>
      </c>
      <c r="G146" s="185">
        <v>5</v>
      </c>
      <c r="H146" s="186">
        <f t="shared" si="51"/>
        <v>5.8995013464481114E-4</v>
      </c>
      <c r="I146" s="186">
        <f t="shared" si="46"/>
        <v>3.5379387159913887E-4</v>
      </c>
      <c r="J146" s="187">
        <f t="shared" si="42"/>
        <v>1.7689693579956943E-3</v>
      </c>
      <c r="K146" s="194">
        <f t="shared" si="49"/>
        <v>2.9497506732240556E-3</v>
      </c>
      <c r="L146" s="193">
        <f t="shared" si="52"/>
        <v>-1.1807813152283613E-3</v>
      </c>
      <c r="M146" s="190">
        <f t="shared" si="28"/>
        <v>-8.1799930814879053E-5</v>
      </c>
      <c r="N146" s="191">
        <f t="shared" si="29"/>
        <v>-1.2625812460432403E-3</v>
      </c>
      <c r="O146" s="190">
        <f t="shared" si="30"/>
        <v>0</v>
      </c>
      <c r="P146" s="190">
        <f t="shared" si="31"/>
        <v>0</v>
      </c>
      <c r="Q146" s="190">
        <v>0</v>
      </c>
      <c r="R146" s="191">
        <f t="shared" si="32"/>
        <v>-1.2625812460432403E-3</v>
      </c>
    </row>
    <row r="147" spans="1:19" x14ac:dyDescent="0.25">
      <c r="A147" s="148">
        <v>8</v>
      </c>
      <c r="B147" s="183">
        <f t="shared" si="41"/>
        <v>45139</v>
      </c>
      <c r="C147" s="203">
        <f t="shared" si="50"/>
        <v>45174</v>
      </c>
      <c r="D147" s="203">
        <f t="shared" si="50"/>
        <v>45194</v>
      </c>
      <c r="E147" s="52" t="s">
        <v>16</v>
      </c>
      <c r="F147" s="148">
        <v>9</v>
      </c>
      <c r="G147" s="185">
        <v>5</v>
      </c>
      <c r="H147" s="186">
        <f t="shared" si="51"/>
        <v>5.8995013464481114E-4</v>
      </c>
      <c r="I147" s="186">
        <f t="shared" si="46"/>
        <v>3.5379387159913887E-4</v>
      </c>
      <c r="J147" s="187">
        <f t="shared" si="42"/>
        <v>1.7689693579956943E-3</v>
      </c>
      <c r="K147" s="194">
        <f t="shared" si="49"/>
        <v>2.9497506732240556E-3</v>
      </c>
      <c r="L147" s="193">
        <f t="shared" si="52"/>
        <v>-1.1807813152283613E-3</v>
      </c>
      <c r="M147" s="190">
        <f t="shared" si="28"/>
        <v>-8.1799930814879053E-5</v>
      </c>
      <c r="N147" s="191">
        <f t="shared" si="29"/>
        <v>-1.2625812460432403E-3</v>
      </c>
      <c r="O147" s="190">
        <f t="shared" si="30"/>
        <v>0</v>
      </c>
      <c r="P147" s="190">
        <f t="shared" si="31"/>
        <v>0</v>
      </c>
      <c r="Q147" s="190">
        <v>0</v>
      </c>
      <c r="R147" s="191">
        <f t="shared" si="32"/>
        <v>-1.2625812460432403E-3</v>
      </c>
    </row>
    <row r="148" spans="1:19" x14ac:dyDescent="0.25">
      <c r="A148" s="148">
        <v>9</v>
      </c>
      <c r="B148" s="183">
        <f t="shared" si="41"/>
        <v>45170</v>
      </c>
      <c r="C148" s="203">
        <f t="shared" si="50"/>
        <v>45203</v>
      </c>
      <c r="D148" s="203">
        <f t="shared" si="50"/>
        <v>45223</v>
      </c>
      <c r="E148" s="52" t="s">
        <v>16</v>
      </c>
      <c r="F148" s="148">
        <v>9</v>
      </c>
      <c r="G148" s="185">
        <v>6</v>
      </c>
      <c r="H148" s="186">
        <f t="shared" si="51"/>
        <v>5.8995013464481114E-4</v>
      </c>
      <c r="I148" s="186">
        <f t="shared" ref="I148:I179" si="53">$J$3</f>
        <v>3.5379387159913887E-4</v>
      </c>
      <c r="J148" s="187">
        <f t="shared" si="42"/>
        <v>2.1227632295948333E-3</v>
      </c>
      <c r="K148" s="194">
        <f t="shared" si="49"/>
        <v>3.5397008078688671E-3</v>
      </c>
      <c r="L148" s="193">
        <f t="shared" si="52"/>
        <v>-1.4169375782740338E-3</v>
      </c>
      <c r="M148" s="190">
        <f t="shared" si="28"/>
        <v>-9.8159916977854847E-5</v>
      </c>
      <c r="N148" s="191">
        <f t="shared" si="29"/>
        <v>-1.5150974952518885E-3</v>
      </c>
      <c r="O148" s="190">
        <f t="shared" si="30"/>
        <v>0</v>
      </c>
      <c r="P148" s="190">
        <f t="shared" si="31"/>
        <v>0</v>
      </c>
      <c r="Q148" s="190">
        <v>0</v>
      </c>
      <c r="R148" s="191">
        <f t="shared" si="32"/>
        <v>-1.5150974952518885E-3</v>
      </c>
    </row>
    <row r="149" spans="1:19" x14ac:dyDescent="0.25">
      <c r="A149" s="111">
        <v>10</v>
      </c>
      <c r="B149" s="183">
        <f t="shared" ref="B149:B211" si="54">DATE($R$1,A149,1)</f>
        <v>45200</v>
      </c>
      <c r="C149" s="203">
        <f t="shared" si="50"/>
        <v>45233</v>
      </c>
      <c r="D149" s="203">
        <f t="shared" si="50"/>
        <v>45254</v>
      </c>
      <c r="E149" s="52" t="s">
        <v>16</v>
      </c>
      <c r="F149" s="148">
        <v>9</v>
      </c>
      <c r="G149" s="185">
        <v>5</v>
      </c>
      <c r="H149" s="186">
        <f t="shared" si="51"/>
        <v>5.8995013464481114E-4</v>
      </c>
      <c r="I149" s="186">
        <f t="shared" si="53"/>
        <v>3.5379387159913887E-4</v>
      </c>
      <c r="J149" s="187">
        <f t="shared" ref="J149:J211" si="55">+$G149*I149</f>
        <v>1.7689693579956943E-3</v>
      </c>
      <c r="K149" s="194">
        <f t="shared" si="49"/>
        <v>2.9497506732240556E-3</v>
      </c>
      <c r="L149" s="193">
        <f t="shared" si="52"/>
        <v>-1.1807813152283613E-3</v>
      </c>
      <c r="M149" s="190">
        <f t="shared" ref="M149:M211" si="56">G149/$G$212*$M$14</f>
        <v>-8.1799930814879053E-5</v>
      </c>
      <c r="N149" s="191">
        <f t="shared" ref="N149:N211" si="57">SUM(L149:M149)</f>
        <v>-1.2625812460432403E-3</v>
      </c>
      <c r="O149" s="190">
        <f t="shared" ref="O149:O211" si="58">+$P$3</f>
        <v>0</v>
      </c>
      <c r="P149" s="190">
        <f t="shared" ref="P149:P211" si="59">+G149*O149</f>
        <v>0</v>
      </c>
      <c r="Q149" s="190">
        <v>0</v>
      </c>
      <c r="R149" s="191">
        <f t="shared" ref="R149:R211" si="60">+N149-Q149</f>
        <v>-1.2625812460432403E-3</v>
      </c>
    </row>
    <row r="150" spans="1:19" x14ac:dyDescent="0.25">
      <c r="A150" s="148">
        <v>11</v>
      </c>
      <c r="B150" s="183">
        <f t="shared" si="54"/>
        <v>45231</v>
      </c>
      <c r="C150" s="203">
        <f t="shared" si="50"/>
        <v>45266</v>
      </c>
      <c r="D150" s="203">
        <f t="shared" si="50"/>
        <v>45285</v>
      </c>
      <c r="E150" s="52" t="s">
        <v>16</v>
      </c>
      <c r="F150" s="148">
        <v>9</v>
      </c>
      <c r="G150" s="185">
        <v>4</v>
      </c>
      <c r="H150" s="186">
        <f t="shared" si="51"/>
        <v>5.8995013464481114E-4</v>
      </c>
      <c r="I150" s="186">
        <f t="shared" si="53"/>
        <v>3.5379387159913887E-4</v>
      </c>
      <c r="J150" s="187">
        <f t="shared" si="55"/>
        <v>1.4151754863965555E-3</v>
      </c>
      <c r="K150" s="194">
        <f t="shared" si="49"/>
        <v>2.3598005385792446E-3</v>
      </c>
      <c r="L150" s="193">
        <f t="shared" si="52"/>
        <v>-9.4462505218268909E-4</v>
      </c>
      <c r="M150" s="190">
        <f t="shared" si="56"/>
        <v>-6.5439944651903231E-5</v>
      </c>
      <c r="N150" s="191">
        <f t="shared" si="57"/>
        <v>-1.0100649968345923E-3</v>
      </c>
      <c r="O150" s="190">
        <f t="shared" si="58"/>
        <v>0</v>
      </c>
      <c r="P150" s="190">
        <f t="shared" si="59"/>
        <v>0</v>
      </c>
      <c r="Q150" s="190">
        <v>0</v>
      </c>
      <c r="R150" s="191">
        <f t="shared" si="60"/>
        <v>-1.0100649968345923E-3</v>
      </c>
    </row>
    <row r="151" spans="1:19" s="207" customFormat="1" x14ac:dyDescent="0.25">
      <c r="A151" s="148">
        <v>12</v>
      </c>
      <c r="B151" s="205">
        <f t="shared" si="54"/>
        <v>45261</v>
      </c>
      <c r="C151" s="203">
        <f t="shared" si="50"/>
        <v>45294</v>
      </c>
      <c r="D151" s="203">
        <f t="shared" si="50"/>
        <v>45315</v>
      </c>
      <c r="E151" s="206" t="s">
        <v>16</v>
      </c>
      <c r="F151" s="159">
        <v>9</v>
      </c>
      <c r="G151" s="185">
        <v>4</v>
      </c>
      <c r="H151" s="195">
        <f t="shared" si="51"/>
        <v>5.8995013464481114E-4</v>
      </c>
      <c r="I151" s="195">
        <f t="shared" si="53"/>
        <v>3.5379387159913887E-4</v>
      </c>
      <c r="J151" s="196">
        <f t="shared" si="55"/>
        <v>1.4151754863965555E-3</v>
      </c>
      <c r="K151" s="197">
        <f t="shared" si="49"/>
        <v>2.3598005385792446E-3</v>
      </c>
      <c r="L151" s="198">
        <f t="shared" si="52"/>
        <v>-9.4462505218268909E-4</v>
      </c>
      <c r="M151" s="190">
        <f t="shared" si="56"/>
        <v>-6.5439944651903231E-5</v>
      </c>
      <c r="N151" s="191">
        <f t="shared" si="57"/>
        <v>-1.0100649968345923E-3</v>
      </c>
      <c r="O151" s="190">
        <f t="shared" si="58"/>
        <v>0</v>
      </c>
      <c r="P151" s="190">
        <f t="shared" si="59"/>
        <v>0</v>
      </c>
      <c r="Q151" s="190">
        <v>0</v>
      </c>
      <c r="R151" s="191">
        <f t="shared" si="60"/>
        <v>-1.0100649968345923E-3</v>
      </c>
    </row>
    <row r="152" spans="1:19" x14ac:dyDescent="0.25">
      <c r="A152" s="111">
        <v>1</v>
      </c>
      <c r="B152" s="183">
        <f t="shared" si="54"/>
        <v>44927</v>
      </c>
      <c r="C152" s="200">
        <f t="shared" ref="C152:D171" si="61">+C140</f>
        <v>44960</v>
      </c>
      <c r="D152" s="200">
        <f t="shared" si="61"/>
        <v>44981</v>
      </c>
      <c r="E152" s="210" t="s">
        <v>55</v>
      </c>
      <c r="F152" s="111">
        <v>9</v>
      </c>
      <c r="G152" s="185">
        <v>113</v>
      </c>
      <c r="H152" s="186">
        <f>+$K$3</f>
        <v>5.8995013464481114E-4</v>
      </c>
      <c r="I152" s="186">
        <f t="shared" si="53"/>
        <v>3.5379387159913887E-4</v>
      </c>
      <c r="J152" s="187">
        <f t="shared" si="55"/>
        <v>3.9978707490702689E-2</v>
      </c>
      <c r="K152" s="188">
        <f t="shared" si="49"/>
        <v>6.6664365214863658E-2</v>
      </c>
      <c r="L152" s="189">
        <f t="shared" si="52"/>
        <v>-2.6685657724160969E-2</v>
      </c>
      <c r="M152" s="190">
        <f t="shared" si="56"/>
        <v>-1.8486784364162663E-3</v>
      </c>
      <c r="N152" s="191">
        <f t="shared" si="57"/>
        <v>-2.8534336160577236E-2</v>
      </c>
      <c r="O152" s="190">
        <f t="shared" si="58"/>
        <v>0</v>
      </c>
      <c r="P152" s="190">
        <f t="shared" si="59"/>
        <v>0</v>
      </c>
      <c r="Q152" s="190">
        <v>0</v>
      </c>
      <c r="R152" s="191">
        <f t="shared" si="60"/>
        <v>-2.8534336160577236E-2</v>
      </c>
    </row>
    <row r="153" spans="1:19" x14ac:dyDescent="0.25">
      <c r="A153" s="148">
        <v>2</v>
      </c>
      <c r="B153" s="183">
        <f t="shared" si="54"/>
        <v>44958</v>
      </c>
      <c r="C153" s="203">
        <f t="shared" si="61"/>
        <v>44988</v>
      </c>
      <c r="D153" s="203">
        <f t="shared" si="61"/>
        <v>45009</v>
      </c>
      <c r="E153" s="211" t="s">
        <v>55</v>
      </c>
      <c r="F153" s="148">
        <v>9</v>
      </c>
      <c r="G153" s="185">
        <v>108</v>
      </c>
      <c r="H153" s="186">
        <f t="shared" ref="H153:H163" si="62">+$K$3</f>
        <v>5.8995013464481114E-4</v>
      </c>
      <c r="I153" s="186">
        <f t="shared" si="53"/>
        <v>3.5379387159913887E-4</v>
      </c>
      <c r="J153" s="187">
        <f t="shared" si="55"/>
        <v>3.8209738132706998E-2</v>
      </c>
      <c r="K153" s="188">
        <f t="shared" si="49"/>
        <v>6.3714614541639597E-2</v>
      </c>
      <c r="L153" s="189">
        <f t="shared" si="52"/>
        <v>-2.5504876408932599E-2</v>
      </c>
      <c r="M153" s="190">
        <f t="shared" si="56"/>
        <v>-1.7668785056013875E-3</v>
      </c>
      <c r="N153" s="191">
        <f t="shared" si="57"/>
        <v>-2.7271754914533985E-2</v>
      </c>
      <c r="O153" s="190">
        <f t="shared" si="58"/>
        <v>0</v>
      </c>
      <c r="P153" s="190">
        <f t="shared" si="59"/>
        <v>0</v>
      </c>
      <c r="Q153" s="190">
        <v>0</v>
      </c>
      <c r="R153" s="191">
        <f t="shared" si="60"/>
        <v>-2.7271754914533985E-2</v>
      </c>
    </row>
    <row r="154" spans="1:19" x14ac:dyDescent="0.25">
      <c r="A154" s="148">
        <v>3</v>
      </c>
      <c r="B154" s="183">
        <f t="shared" si="54"/>
        <v>44986</v>
      </c>
      <c r="C154" s="203">
        <f t="shared" si="61"/>
        <v>45021</v>
      </c>
      <c r="D154" s="203">
        <f t="shared" si="61"/>
        <v>45040</v>
      </c>
      <c r="E154" s="211" t="s">
        <v>55</v>
      </c>
      <c r="F154" s="148">
        <v>9</v>
      </c>
      <c r="G154" s="185">
        <v>96</v>
      </c>
      <c r="H154" s="186">
        <f t="shared" si="62"/>
        <v>5.8995013464481114E-4</v>
      </c>
      <c r="I154" s="186">
        <f t="shared" si="53"/>
        <v>3.5379387159913887E-4</v>
      </c>
      <c r="J154" s="187">
        <f t="shared" si="55"/>
        <v>3.3964211673517333E-2</v>
      </c>
      <c r="K154" s="188">
        <f t="shared" si="49"/>
        <v>5.6635212925901873E-2</v>
      </c>
      <c r="L154" s="189">
        <f>+J154-K154</f>
        <v>-2.267100125238454E-2</v>
      </c>
      <c r="M154" s="190">
        <f t="shared" si="56"/>
        <v>-1.5705586716456776E-3</v>
      </c>
      <c r="N154" s="191">
        <f t="shared" si="57"/>
        <v>-2.4241559924030216E-2</v>
      </c>
      <c r="O154" s="190">
        <f t="shared" si="58"/>
        <v>0</v>
      </c>
      <c r="P154" s="190">
        <f t="shared" si="59"/>
        <v>0</v>
      </c>
      <c r="Q154" s="190">
        <v>0</v>
      </c>
      <c r="R154" s="191">
        <f t="shared" si="60"/>
        <v>-2.4241559924030216E-2</v>
      </c>
    </row>
    <row r="155" spans="1:19" x14ac:dyDescent="0.25">
      <c r="A155" s="111">
        <v>4</v>
      </c>
      <c r="B155" s="183">
        <f t="shared" si="54"/>
        <v>45017</v>
      </c>
      <c r="C155" s="203">
        <f t="shared" si="61"/>
        <v>45049</v>
      </c>
      <c r="D155" s="203">
        <f t="shared" si="61"/>
        <v>45070</v>
      </c>
      <c r="E155" s="211" t="s">
        <v>55</v>
      </c>
      <c r="F155" s="148">
        <v>9</v>
      </c>
      <c r="G155" s="185">
        <v>91</v>
      </c>
      <c r="H155" s="186">
        <f t="shared" si="62"/>
        <v>5.8995013464481114E-4</v>
      </c>
      <c r="I155" s="186">
        <f t="shared" si="53"/>
        <v>3.5379387159913887E-4</v>
      </c>
      <c r="J155" s="187">
        <f t="shared" si="55"/>
        <v>3.2195242315521636E-2</v>
      </c>
      <c r="K155" s="188">
        <f t="shared" si="49"/>
        <v>5.3685462252677812E-2</v>
      </c>
      <c r="L155" s="189">
        <f t="shared" ref="L155:L165" si="63">+J155-K155</f>
        <v>-2.1490219937156177E-2</v>
      </c>
      <c r="M155" s="190">
        <f t="shared" si="56"/>
        <v>-1.4887587408307986E-3</v>
      </c>
      <c r="N155" s="191">
        <f t="shared" si="57"/>
        <v>-2.2978978677986976E-2</v>
      </c>
      <c r="O155" s="190">
        <f t="shared" si="58"/>
        <v>0</v>
      </c>
      <c r="P155" s="190">
        <f t="shared" si="59"/>
        <v>0</v>
      </c>
      <c r="Q155" s="190">
        <v>0</v>
      </c>
      <c r="R155" s="191">
        <f t="shared" si="60"/>
        <v>-2.2978978677986976E-2</v>
      </c>
    </row>
    <row r="156" spans="1:19" x14ac:dyDescent="0.25">
      <c r="A156" s="148">
        <v>5</v>
      </c>
      <c r="B156" s="183">
        <f t="shared" si="54"/>
        <v>45047</v>
      </c>
      <c r="C156" s="203">
        <f t="shared" si="61"/>
        <v>45082</v>
      </c>
      <c r="D156" s="203">
        <f t="shared" si="61"/>
        <v>45103</v>
      </c>
      <c r="E156" s="211" t="s">
        <v>55</v>
      </c>
      <c r="F156" s="148">
        <v>9</v>
      </c>
      <c r="G156" s="185">
        <v>125</v>
      </c>
      <c r="H156" s="186">
        <f t="shared" si="62"/>
        <v>5.8995013464481114E-4</v>
      </c>
      <c r="I156" s="186">
        <f t="shared" si="53"/>
        <v>3.5379387159913887E-4</v>
      </c>
      <c r="J156" s="187">
        <f t="shared" si="55"/>
        <v>4.4224233949892361E-2</v>
      </c>
      <c r="K156" s="188">
        <f t="shared" si="49"/>
        <v>7.3743766830601395E-2</v>
      </c>
      <c r="L156" s="189">
        <f t="shared" si="63"/>
        <v>-2.9519532880709035E-2</v>
      </c>
      <c r="M156" s="190">
        <f t="shared" si="56"/>
        <v>-2.0449982703719762E-3</v>
      </c>
      <c r="N156" s="191">
        <f t="shared" si="57"/>
        <v>-3.1564531151081009E-2</v>
      </c>
      <c r="O156" s="190">
        <f t="shared" si="58"/>
        <v>0</v>
      </c>
      <c r="P156" s="190">
        <f t="shared" si="59"/>
        <v>0</v>
      </c>
      <c r="Q156" s="190">
        <v>0</v>
      </c>
      <c r="R156" s="191">
        <f t="shared" si="60"/>
        <v>-3.1564531151081009E-2</v>
      </c>
    </row>
    <row r="157" spans="1:19" x14ac:dyDescent="0.25">
      <c r="A157" s="148">
        <v>6</v>
      </c>
      <c r="B157" s="183">
        <f t="shared" si="54"/>
        <v>45078</v>
      </c>
      <c r="C157" s="203">
        <f t="shared" si="61"/>
        <v>45112</v>
      </c>
      <c r="D157" s="203">
        <f t="shared" si="61"/>
        <v>45131</v>
      </c>
      <c r="E157" s="211" t="s">
        <v>55</v>
      </c>
      <c r="F157" s="148">
        <v>9</v>
      </c>
      <c r="G157" s="185">
        <v>167</v>
      </c>
      <c r="H157" s="186">
        <f t="shared" si="62"/>
        <v>5.8995013464481114E-4</v>
      </c>
      <c r="I157" s="186">
        <f t="shared" si="53"/>
        <v>3.5379387159913887E-4</v>
      </c>
      <c r="J157" s="187">
        <f t="shared" si="55"/>
        <v>5.9083576557056192E-2</v>
      </c>
      <c r="K157" s="188">
        <f t="shared" si="49"/>
        <v>9.8521672485683456E-2</v>
      </c>
      <c r="L157" s="193">
        <f t="shared" si="63"/>
        <v>-3.9438095928627265E-2</v>
      </c>
      <c r="M157" s="190">
        <f t="shared" si="56"/>
        <v>-2.7321176892169605E-3</v>
      </c>
      <c r="N157" s="191">
        <f t="shared" si="57"/>
        <v>-4.2170213617844225E-2</v>
      </c>
      <c r="O157" s="190">
        <f t="shared" si="58"/>
        <v>0</v>
      </c>
      <c r="P157" s="190">
        <f t="shared" si="59"/>
        <v>0</v>
      </c>
      <c r="Q157" s="190">
        <v>0</v>
      </c>
      <c r="R157" s="191">
        <f t="shared" si="60"/>
        <v>-4.2170213617844225E-2</v>
      </c>
    </row>
    <row r="158" spans="1:19" x14ac:dyDescent="0.25">
      <c r="A158" s="111">
        <v>7</v>
      </c>
      <c r="B158" s="183">
        <f t="shared" si="54"/>
        <v>45108</v>
      </c>
      <c r="C158" s="203">
        <f t="shared" si="61"/>
        <v>45141</v>
      </c>
      <c r="D158" s="203">
        <f t="shared" si="61"/>
        <v>45162</v>
      </c>
      <c r="E158" s="211" t="s">
        <v>55</v>
      </c>
      <c r="F158" s="148">
        <v>9</v>
      </c>
      <c r="G158" s="185">
        <v>160</v>
      </c>
      <c r="H158" s="186">
        <f t="shared" si="62"/>
        <v>5.8995013464481114E-4</v>
      </c>
      <c r="I158" s="186">
        <f t="shared" si="53"/>
        <v>3.5379387159913887E-4</v>
      </c>
      <c r="J158" s="187">
        <f t="shared" si="55"/>
        <v>5.6607019455862218E-2</v>
      </c>
      <c r="K158" s="194">
        <f t="shared" si="49"/>
        <v>9.439202154316978E-2</v>
      </c>
      <c r="L158" s="193">
        <f t="shared" si="63"/>
        <v>-3.7785002087307562E-2</v>
      </c>
      <c r="M158" s="190">
        <f t="shared" si="56"/>
        <v>-2.6175977860761297E-3</v>
      </c>
      <c r="N158" s="191">
        <f t="shared" si="57"/>
        <v>-4.0402599873383689E-2</v>
      </c>
      <c r="O158" s="190">
        <f t="shared" si="58"/>
        <v>0</v>
      </c>
      <c r="P158" s="190">
        <f t="shared" si="59"/>
        <v>0</v>
      </c>
      <c r="Q158" s="190">
        <v>0</v>
      </c>
      <c r="R158" s="191">
        <f t="shared" si="60"/>
        <v>-4.0402599873383689E-2</v>
      </c>
    </row>
    <row r="159" spans="1:19" x14ac:dyDescent="0.25">
      <c r="A159" s="148">
        <v>8</v>
      </c>
      <c r="B159" s="183">
        <f t="shared" si="54"/>
        <v>45139</v>
      </c>
      <c r="C159" s="203">
        <f t="shared" si="61"/>
        <v>45174</v>
      </c>
      <c r="D159" s="203">
        <f t="shared" si="61"/>
        <v>45194</v>
      </c>
      <c r="E159" s="211" t="s">
        <v>55</v>
      </c>
      <c r="F159" s="111">
        <v>9</v>
      </c>
      <c r="G159" s="185">
        <v>181</v>
      </c>
      <c r="H159" s="186">
        <f t="shared" si="62"/>
        <v>5.8995013464481114E-4</v>
      </c>
      <c r="I159" s="186">
        <f t="shared" si="53"/>
        <v>3.5379387159913887E-4</v>
      </c>
      <c r="J159" s="187">
        <f t="shared" si="55"/>
        <v>6.403669075944414E-2</v>
      </c>
      <c r="K159" s="194">
        <f t="shared" si="49"/>
        <v>0.10678097437071082</v>
      </c>
      <c r="L159" s="193">
        <f t="shared" si="63"/>
        <v>-4.2744283611266684E-2</v>
      </c>
      <c r="M159" s="190">
        <f t="shared" si="56"/>
        <v>-2.9611574954986212E-3</v>
      </c>
      <c r="N159" s="191">
        <f t="shared" si="57"/>
        <v>-4.5705441106765304E-2</v>
      </c>
      <c r="O159" s="190">
        <f t="shared" si="58"/>
        <v>0</v>
      </c>
      <c r="P159" s="190">
        <f t="shared" si="59"/>
        <v>0</v>
      </c>
      <c r="Q159" s="190">
        <v>0</v>
      </c>
      <c r="R159" s="191">
        <f t="shared" si="60"/>
        <v>-4.5705441106765304E-2</v>
      </c>
      <c r="S159" s="50"/>
    </row>
    <row r="160" spans="1:19" x14ac:dyDescent="0.25">
      <c r="A160" s="148">
        <v>9</v>
      </c>
      <c r="B160" s="183">
        <f t="shared" si="54"/>
        <v>45170</v>
      </c>
      <c r="C160" s="203">
        <f t="shared" si="61"/>
        <v>45203</v>
      </c>
      <c r="D160" s="203">
        <f t="shared" si="61"/>
        <v>45223</v>
      </c>
      <c r="E160" s="211" t="s">
        <v>55</v>
      </c>
      <c r="F160" s="111">
        <v>9</v>
      </c>
      <c r="G160" s="185">
        <v>157</v>
      </c>
      <c r="H160" s="186">
        <f t="shared" si="62"/>
        <v>5.8995013464481114E-4</v>
      </c>
      <c r="I160" s="186">
        <f t="shared" si="53"/>
        <v>3.5379387159913887E-4</v>
      </c>
      <c r="J160" s="187">
        <f t="shared" si="55"/>
        <v>5.5545637841064803E-2</v>
      </c>
      <c r="K160" s="194">
        <f t="shared" si="49"/>
        <v>9.2622171139235349E-2</v>
      </c>
      <c r="L160" s="193">
        <f t="shared" si="63"/>
        <v>-3.7076533298170546E-2</v>
      </c>
      <c r="M160" s="190">
        <f t="shared" si="56"/>
        <v>-2.5685178275872021E-3</v>
      </c>
      <c r="N160" s="191">
        <f t="shared" si="57"/>
        <v>-3.9645051125757745E-2</v>
      </c>
      <c r="O160" s="190">
        <f t="shared" si="58"/>
        <v>0</v>
      </c>
      <c r="P160" s="190">
        <f t="shared" si="59"/>
        <v>0</v>
      </c>
      <c r="Q160" s="190">
        <v>0</v>
      </c>
      <c r="R160" s="191">
        <f t="shared" si="60"/>
        <v>-3.9645051125757745E-2</v>
      </c>
    </row>
    <row r="161" spans="1:19" x14ac:dyDescent="0.25">
      <c r="A161" s="111">
        <v>10</v>
      </c>
      <c r="B161" s="183">
        <f t="shared" si="54"/>
        <v>45200</v>
      </c>
      <c r="C161" s="203">
        <f t="shared" si="61"/>
        <v>45233</v>
      </c>
      <c r="D161" s="203">
        <f t="shared" si="61"/>
        <v>45254</v>
      </c>
      <c r="E161" s="211" t="s">
        <v>55</v>
      </c>
      <c r="F161" s="111">
        <v>9</v>
      </c>
      <c r="G161" s="185">
        <v>118</v>
      </c>
      <c r="H161" s="186">
        <f t="shared" si="62"/>
        <v>5.8995013464481114E-4</v>
      </c>
      <c r="I161" s="186">
        <f t="shared" si="53"/>
        <v>3.5379387159913887E-4</v>
      </c>
      <c r="J161" s="187">
        <f t="shared" si="55"/>
        <v>4.1747676848698387E-2</v>
      </c>
      <c r="K161" s="194">
        <f t="shared" si="49"/>
        <v>6.9614115888087719E-2</v>
      </c>
      <c r="L161" s="193">
        <f t="shared" si="63"/>
        <v>-2.7866439039389332E-2</v>
      </c>
      <c r="M161" s="190">
        <f t="shared" si="56"/>
        <v>-1.9304783672311455E-3</v>
      </c>
      <c r="N161" s="191">
        <f t="shared" si="57"/>
        <v>-2.9796917406620476E-2</v>
      </c>
      <c r="O161" s="190">
        <f t="shared" si="58"/>
        <v>0</v>
      </c>
      <c r="P161" s="190">
        <f t="shared" si="59"/>
        <v>0</v>
      </c>
      <c r="Q161" s="190">
        <v>0</v>
      </c>
      <c r="R161" s="191">
        <f t="shared" si="60"/>
        <v>-2.9796917406620476E-2</v>
      </c>
    </row>
    <row r="162" spans="1:19" x14ac:dyDescent="0.25">
      <c r="A162" s="148">
        <v>11</v>
      </c>
      <c r="B162" s="183">
        <f t="shared" si="54"/>
        <v>45231</v>
      </c>
      <c r="C162" s="203">
        <f t="shared" si="61"/>
        <v>45266</v>
      </c>
      <c r="D162" s="203">
        <f t="shared" si="61"/>
        <v>45285</v>
      </c>
      <c r="E162" s="211" t="s">
        <v>55</v>
      </c>
      <c r="F162" s="111">
        <v>9</v>
      </c>
      <c r="G162" s="185">
        <v>102</v>
      </c>
      <c r="H162" s="186">
        <f t="shared" si="62"/>
        <v>5.8995013464481114E-4</v>
      </c>
      <c r="I162" s="186">
        <f t="shared" si="53"/>
        <v>3.5379387159913887E-4</v>
      </c>
      <c r="J162" s="187">
        <f t="shared" si="55"/>
        <v>3.6086974903112162E-2</v>
      </c>
      <c r="K162" s="194">
        <f t="shared" si="49"/>
        <v>6.0174913733770735E-2</v>
      </c>
      <c r="L162" s="193">
        <f t="shared" si="63"/>
        <v>-2.4087938830658573E-2</v>
      </c>
      <c r="M162" s="190">
        <f t="shared" si="56"/>
        <v>-1.6687185886235323E-3</v>
      </c>
      <c r="N162" s="191">
        <f t="shared" si="57"/>
        <v>-2.5756657419282104E-2</v>
      </c>
      <c r="O162" s="190">
        <f t="shared" si="58"/>
        <v>0</v>
      </c>
      <c r="P162" s="190">
        <f t="shared" si="59"/>
        <v>0</v>
      </c>
      <c r="Q162" s="190">
        <v>0</v>
      </c>
      <c r="R162" s="191">
        <f t="shared" si="60"/>
        <v>-2.5756657419282104E-2</v>
      </c>
    </row>
    <row r="163" spans="1:19" s="207" customFormat="1" x14ac:dyDescent="0.25">
      <c r="A163" s="148">
        <v>12</v>
      </c>
      <c r="B163" s="205">
        <f t="shared" si="54"/>
        <v>45261</v>
      </c>
      <c r="C163" s="203">
        <f t="shared" si="61"/>
        <v>45294</v>
      </c>
      <c r="D163" s="203">
        <f t="shared" si="61"/>
        <v>45315</v>
      </c>
      <c r="E163" s="212" t="s">
        <v>55</v>
      </c>
      <c r="F163" s="159">
        <v>9</v>
      </c>
      <c r="G163" s="185">
        <v>99</v>
      </c>
      <c r="H163" s="195">
        <f t="shared" si="62"/>
        <v>5.8995013464481114E-4</v>
      </c>
      <c r="I163" s="195">
        <f t="shared" si="53"/>
        <v>3.5379387159913887E-4</v>
      </c>
      <c r="J163" s="196">
        <f t="shared" si="55"/>
        <v>3.5025593288314748E-2</v>
      </c>
      <c r="K163" s="197">
        <f t="shared" si="49"/>
        <v>5.8405063329836304E-2</v>
      </c>
      <c r="L163" s="198">
        <f t="shared" si="63"/>
        <v>-2.3379470041521556E-2</v>
      </c>
      <c r="M163" s="190">
        <f t="shared" si="56"/>
        <v>-1.6196386301346052E-3</v>
      </c>
      <c r="N163" s="191">
        <f t="shared" si="57"/>
        <v>-2.499910867165616E-2</v>
      </c>
      <c r="O163" s="190">
        <f t="shared" si="58"/>
        <v>0</v>
      </c>
      <c r="P163" s="190">
        <f t="shared" si="59"/>
        <v>0</v>
      </c>
      <c r="Q163" s="190">
        <v>0</v>
      </c>
      <c r="R163" s="191">
        <f t="shared" si="60"/>
        <v>-2.499910867165616E-2</v>
      </c>
    </row>
    <row r="164" spans="1:19" x14ac:dyDescent="0.25">
      <c r="A164" s="111">
        <v>1</v>
      </c>
      <c r="B164" s="183">
        <f t="shared" si="54"/>
        <v>44927</v>
      </c>
      <c r="C164" s="200">
        <f t="shared" si="61"/>
        <v>44960</v>
      </c>
      <c r="D164" s="200">
        <f t="shared" si="61"/>
        <v>44981</v>
      </c>
      <c r="E164" s="210" t="s">
        <v>56</v>
      </c>
      <c r="F164" s="111">
        <v>9</v>
      </c>
      <c r="G164" s="185">
        <v>7</v>
      </c>
      <c r="H164" s="186">
        <f>+$K$3</f>
        <v>5.8995013464481114E-4</v>
      </c>
      <c r="I164" s="186">
        <f t="shared" si="53"/>
        <v>3.5379387159913887E-4</v>
      </c>
      <c r="J164" s="187">
        <f t="shared" si="55"/>
        <v>2.4765571011939719E-3</v>
      </c>
      <c r="K164" s="188">
        <f t="shared" si="49"/>
        <v>4.1296509425136777E-3</v>
      </c>
      <c r="L164" s="189">
        <f t="shared" si="63"/>
        <v>-1.6530938413197058E-3</v>
      </c>
      <c r="M164" s="190">
        <f t="shared" si="56"/>
        <v>-1.1451990314083067E-4</v>
      </c>
      <c r="N164" s="191">
        <f t="shared" si="57"/>
        <v>-1.7676137444605365E-3</v>
      </c>
      <c r="O164" s="190">
        <f t="shared" si="58"/>
        <v>0</v>
      </c>
      <c r="P164" s="190">
        <f t="shared" si="59"/>
        <v>0</v>
      </c>
      <c r="Q164" s="190">
        <v>0</v>
      </c>
      <c r="R164" s="191">
        <f t="shared" si="60"/>
        <v>-1.7676137444605365E-3</v>
      </c>
    </row>
    <row r="165" spans="1:19" x14ac:dyDescent="0.25">
      <c r="A165" s="148">
        <v>2</v>
      </c>
      <c r="B165" s="183">
        <f t="shared" si="54"/>
        <v>44958</v>
      </c>
      <c r="C165" s="203">
        <f t="shared" si="61"/>
        <v>44988</v>
      </c>
      <c r="D165" s="203">
        <f t="shared" si="61"/>
        <v>45009</v>
      </c>
      <c r="E165" s="211" t="s">
        <v>56</v>
      </c>
      <c r="F165" s="148">
        <v>9</v>
      </c>
      <c r="G165" s="185">
        <v>10</v>
      </c>
      <c r="H165" s="186">
        <f t="shared" ref="H165:H175" si="64">+$K$3</f>
        <v>5.8995013464481114E-4</v>
      </c>
      <c r="I165" s="186">
        <f t="shared" si="53"/>
        <v>3.5379387159913887E-4</v>
      </c>
      <c r="J165" s="187">
        <f t="shared" si="55"/>
        <v>3.5379387159913886E-3</v>
      </c>
      <c r="K165" s="188">
        <f t="shared" si="49"/>
        <v>5.8995013464481112E-3</v>
      </c>
      <c r="L165" s="189">
        <f t="shared" si="63"/>
        <v>-2.3615626304567226E-3</v>
      </c>
      <c r="M165" s="190">
        <f t="shared" si="56"/>
        <v>-1.6359986162975811E-4</v>
      </c>
      <c r="N165" s="191">
        <f t="shared" si="57"/>
        <v>-2.5251624920864806E-3</v>
      </c>
      <c r="O165" s="190">
        <f t="shared" si="58"/>
        <v>0</v>
      </c>
      <c r="P165" s="190">
        <f t="shared" si="59"/>
        <v>0</v>
      </c>
      <c r="Q165" s="190">
        <v>0</v>
      </c>
      <c r="R165" s="191">
        <f t="shared" si="60"/>
        <v>-2.5251624920864806E-3</v>
      </c>
    </row>
    <row r="166" spans="1:19" x14ac:dyDescent="0.25">
      <c r="A166" s="148">
        <v>3</v>
      </c>
      <c r="B166" s="183">
        <f t="shared" si="54"/>
        <v>44986</v>
      </c>
      <c r="C166" s="203">
        <f t="shared" si="61"/>
        <v>45021</v>
      </c>
      <c r="D166" s="203">
        <f t="shared" si="61"/>
        <v>45040</v>
      </c>
      <c r="E166" s="211" t="s">
        <v>56</v>
      </c>
      <c r="F166" s="148">
        <v>9</v>
      </c>
      <c r="G166" s="185">
        <v>8</v>
      </c>
      <c r="H166" s="186">
        <f t="shared" si="64"/>
        <v>5.8995013464481114E-4</v>
      </c>
      <c r="I166" s="186">
        <f t="shared" si="53"/>
        <v>3.5379387159913887E-4</v>
      </c>
      <c r="J166" s="187">
        <f t="shared" si="55"/>
        <v>2.830350972793111E-3</v>
      </c>
      <c r="K166" s="188">
        <f t="shared" si="49"/>
        <v>4.7196010771584892E-3</v>
      </c>
      <c r="L166" s="189">
        <f>+J166-K166</f>
        <v>-1.8892501043653782E-3</v>
      </c>
      <c r="M166" s="190">
        <f t="shared" si="56"/>
        <v>-1.3087988930380646E-4</v>
      </c>
      <c r="N166" s="191">
        <f t="shared" si="57"/>
        <v>-2.0201299936691845E-3</v>
      </c>
      <c r="O166" s="190">
        <f t="shared" si="58"/>
        <v>0</v>
      </c>
      <c r="P166" s="190">
        <f t="shared" si="59"/>
        <v>0</v>
      </c>
      <c r="Q166" s="190">
        <v>0</v>
      </c>
      <c r="R166" s="191">
        <f t="shared" si="60"/>
        <v>-2.0201299936691845E-3</v>
      </c>
    </row>
    <row r="167" spans="1:19" x14ac:dyDescent="0.25">
      <c r="A167" s="111">
        <v>4</v>
      </c>
      <c r="B167" s="183">
        <f t="shared" si="54"/>
        <v>45017</v>
      </c>
      <c r="C167" s="203">
        <f t="shared" si="61"/>
        <v>45049</v>
      </c>
      <c r="D167" s="203">
        <f t="shared" si="61"/>
        <v>45070</v>
      </c>
      <c r="E167" s="211" t="s">
        <v>56</v>
      </c>
      <c r="F167" s="148">
        <v>9</v>
      </c>
      <c r="G167" s="185">
        <v>8</v>
      </c>
      <c r="H167" s="186">
        <f t="shared" si="64"/>
        <v>5.8995013464481114E-4</v>
      </c>
      <c r="I167" s="186">
        <f t="shared" si="53"/>
        <v>3.5379387159913887E-4</v>
      </c>
      <c r="J167" s="187">
        <f t="shared" si="55"/>
        <v>2.830350972793111E-3</v>
      </c>
      <c r="K167" s="188">
        <f t="shared" si="49"/>
        <v>4.7196010771584892E-3</v>
      </c>
      <c r="L167" s="189">
        <f t="shared" ref="L167:L177" si="65">+J167-K167</f>
        <v>-1.8892501043653782E-3</v>
      </c>
      <c r="M167" s="190">
        <f t="shared" si="56"/>
        <v>-1.3087988930380646E-4</v>
      </c>
      <c r="N167" s="191">
        <f t="shared" si="57"/>
        <v>-2.0201299936691845E-3</v>
      </c>
      <c r="O167" s="190">
        <f t="shared" si="58"/>
        <v>0</v>
      </c>
      <c r="P167" s="190">
        <f t="shared" si="59"/>
        <v>0</v>
      </c>
      <c r="Q167" s="190">
        <v>0</v>
      </c>
      <c r="R167" s="191">
        <f t="shared" si="60"/>
        <v>-2.0201299936691845E-3</v>
      </c>
    </row>
    <row r="168" spans="1:19" x14ac:dyDescent="0.25">
      <c r="A168" s="148">
        <v>5</v>
      </c>
      <c r="B168" s="183">
        <f t="shared" si="54"/>
        <v>45047</v>
      </c>
      <c r="C168" s="203">
        <f t="shared" si="61"/>
        <v>45082</v>
      </c>
      <c r="D168" s="203">
        <f t="shared" si="61"/>
        <v>45103</v>
      </c>
      <c r="E168" s="211" t="s">
        <v>56</v>
      </c>
      <c r="F168" s="148">
        <v>9</v>
      </c>
      <c r="G168" s="185">
        <v>10</v>
      </c>
      <c r="H168" s="186">
        <f t="shared" si="64"/>
        <v>5.8995013464481114E-4</v>
      </c>
      <c r="I168" s="186">
        <f t="shared" si="53"/>
        <v>3.5379387159913887E-4</v>
      </c>
      <c r="J168" s="187">
        <f t="shared" si="55"/>
        <v>3.5379387159913886E-3</v>
      </c>
      <c r="K168" s="188">
        <f t="shared" si="49"/>
        <v>5.8995013464481112E-3</v>
      </c>
      <c r="L168" s="189">
        <f t="shared" si="65"/>
        <v>-2.3615626304567226E-3</v>
      </c>
      <c r="M168" s="190">
        <f t="shared" si="56"/>
        <v>-1.6359986162975811E-4</v>
      </c>
      <c r="N168" s="191">
        <f t="shared" si="57"/>
        <v>-2.5251624920864806E-3</v>
      </c>
      <c r="O168" s="190">
        <f t="shared" si="58"/>
        <v>0</v>
      </c>
      <c r="P168" s="190">
        <f t="shared" si="59"/>
        <v>0</v>
      </c>
      <c r="Q168" s="190">
        <v>0</v>
      </c>
      <c r="R168" s="191">
        <f t="shared" si="60"/>
        <v>-2.5251624920864806E-3</v>
      </c>
    </row>
    <row r="169" spans="1:19" x14ac:dyDescent="0.25">
      <c r="A169" s="148">
        <v>6</v>
      </c>
      <c r="B169" s="183">
        <f t="shared" si="54"/>
        <v>45078</v>
      </c>
      <c r="C169" s="203">
        <f t="shared" si="61"/>
        <v>45112</v>
      </c>
      <c r="D169" s="203">
        <f t="shared" si="61"/>
        <v>45131</v>
      </c>
      <c r="E169" s="211" t="s">
        <v>56</v>
      </c>
      <c r="F169" s="148">
        <v>9</v>
      </c>
      <c r="G169" s="185">
        <v>12</v>
      </c>
      <c r="H169" s="186">
        <f t="shared" si="64"/>
        <v>5.8995013464481114E-4</v>
      </c>
      <c r="I169" s="186">
        <f t="shared" si="53"/>
        <v>3.5379387159913887E-4</v>
      </c>
      <c r="J169" s="187">
        <f t="shared" si="55"/>
        <v>4.2455264591896667E-3</v>
      </c>
      <c r="K169" s="188">
        <f t="shared" si="49"/>
        <v>7.0794016157377342E-3</v>
      </c>
      <c r="L169" s="193">
        <f t="shared" si="65"/>
        <v>-2.8338751565480675E-3</v>
      </c>
      <c r="M169" s="190">
        <f t="shared" si="56"/>
        <v>-1.9631983395570969E-4</v>
      </c>
      <c r="N169" s="191">
        <f t="shared" si="57"/>
        <v>-3.030194990503777E-3</v>
      </c>
      <c r="O169" s="190">
        <f t="shared" si="58"/>
        <v>0</v>
      </c>
      <c r="P169" s="190">
        <f t="shared" si="59"/>
        <v>0</v>
      </c>
      <c r="Q169" s="190">
        <v>0</v>
      </c>
      <c r="R169" s="191">
        <f t="shared" si="60"/>
        <v>-3.030194990503777E-3</v>
      </c>
    </row>
    <row r="170" spans="1:19" x14ac:dyDescent="0.25">
      <c r="A170" s="111">
        <v>7</v>
      </c>
      <c r="B170" s="183">
        <f t="shared" si="54"/>
        <v>45108</v>
      </c>
      <c r="C170" s="203">
        <f t="shared" si="61"/>
        <v>45141</v>
      </c>
      <c r="D170" s="203">
        <f t="shared" si="61"/>
        <v>45162</v>
      </c>
      <c r="E170" s="211" t="s">
        <v>56</v>
      </c>
      <c r="F170" s="148">
        <v>9</v>
      </c>
      <c r="G170" s="185">
        <v>14</v>
      </c>
      <c r="H170" s="186">
        <f t="shared" si="64"/>
        <v>5.8995013464481114E-4</v>
      </c>
      <c r="I170" s="186">
        <f t="shared" si="53"/>
        <v>3.5379387159913887E-4</v>
      </c>
      <c r="J170" s="187">
        <f t="shared" si="55"/>
        <v>4.9531142023879439E-3</v>
      </c>
      <c r="K170" s="194">
        <f t="shared" si="49"/>
        <v>8.2593018850273554E-3</v>
      </c>
      <c r="L170" s="193">
        <f t="shared" si="65"/>
        <v>-3.3061876826394115E-3</v>
      </c>
      <c r="M170" s="190">
        <f t="shared" si="56"/>
        <v>-2.2903980628166134E-4</v>
      </c>
      <c r="N170" s="191">
        <f t="shared" si="57"/>
        <v>-3.5352274889210731E-3</v>
      </c>
      <c r="O170" s="190">
        <f t="shared" si="58"/>
        <v>0</v>
      </c>
      <c r="P170" s="190">
        <f t="shared" si="59"/>
        <v>0</v>
      </c>
      <c r="Q170" s="190">
        <v>0</v>
      </c>
      <c r="R170" s="191">
        <f t="shared" si="60"/>
        <v>-3.5352274889210731E-3</v>
      </c>
    </row>
    <row r="171" spans="1:19" x14ac:dyDescent="0.25">
      <c r="A171" s="148">
        <v>8</v>
      </c>
      <c r="B171" s="183">
        <f t="shared" si="54"/>
        <v>45139</v>
      </c>
      <c r="C171" s="203">
        <f t="shared" si="61"/>
        <v>45174</v>
      </c>
      <c r="D171" s="203">
        <f t="shared" si="61"/>
        <v>45194</v>
      </c>
      <c r="E171" s="211" t="s">
        <v>56</v>
      </c>
      <c r="F171" s="111">
        <v>9</v>
      </c>
      <c r="G171" s="185">
        <v>13</v>
      </c>
      <c r="H171" s="186">
        <f t="shared" si="64"/>
        <v>5.8995013464481114E-4</v>
      </c>
      <c r="I171" s="186">
        <f t="shared" si="53"/>
        <v>3.5379387159913887E-4</v>
      </c>
      <c r="J171" s="187">
        <f t="shared" si="55"/>
        <v>4.5993203307888057E-3</v>
      </c>
      <c r="K171" s="194">
        <f t="shared" si="49"/>
        <v>7.6693517503825448E-3</v>
      </c>
      <c r="L171" s="193">
        <f t="shared" si="65"/>
        <v>-3.0700314195937391E-3</v>
      </c>
      <c r="M171" s="190">
        <f t="shared" si="56"/>
        <v>-2.1267982011868549E-4</v>
      </c>
      <c r="N171" s="191">
        <f t="shared" si="57"/>
        <v>-3.2827112397124246E-3</v>
      </c>
      <c r="O171" s="190">
        <f t="shared" si="58"/>
        <v>0</v>
      </c>
      <c r="P171" s="190">
        <f t="shared" si="59"/>
        <v>0</v>
      </c>
      <c r="Q171" s="190">
        <v>0</v>
      </c>
      <c r="R171" s="191">
        <f t="shared" si="60"/>
        <v>-3.2827112397124246E-3</v>
      </c>
      <c r="S171" s="50"/>
    </row>
    <row r="172" spans="1:19" x14ac:dyDescent="0.25">
      <c r="A172" s="148">
        <v>9</v>
      </c>
      <c r="B172" s="183">
        <f t="shared" si="54"/>
        <v>45170</v>
      </c>
      <c r="C172" s="203">
        <f t="shared" ref="C172:D175" si="66">+C160</f>
        <v>45203</v>
      </c>
      <c r="D172" s="203">
        <f t="shared" si="66"/>
        <v>45223</v>
      </c>
      <c r="E172" s="211" t="s">
        <v>56</v>
      </c>
      <c r="F172" s="111">
        <v>9</v>
      </c>
      <c r="G172" s="185">
        <v>13</v>
      </c>
      <c r="H172" s="186">
        <f t="shared" si="64"/>
        <v>5.8995013464481114E-4</v>
      </c>
      <c r="I172" s="186">
        <f t="shared" si="53"/>
        <v>3.5379387159913887E-4</v>
      </c>
      <c r="J172" s="187">
        <f t="shared" si="55"/>
        <v>4.5993203307888057E-3</v>
      </c>
      <c r="K172" s="194">
        <f t="shared" si="49"/>
        <v>7.6693517503825448E-3</v>
      </c>
      <c r="L172" s="193">
        <f t="shared" si="65"/>
        <v>-3.0700314195937391E-3</v>
      </c>
      <c r="M172" s="190">
        <f t="shared" si="56"/>
        <v>-2.1267982011868549E-4</v>
      </c>
      <c r="N172" s="191">
        <f t="shared" si="57"/>
        <v>-3.2827112397124246E-3</v>
      </c>
      <c r="O172" s="190">
        <f t="shared" si="58"/>
        <v>0</v>
      </c>
      <c r="P172" s="190">
        <f t="shared" si="59"/>
        <v>0</v>
      </c>
      <c r="Q172" s="190">
        <v>0</v>
      </c>
      <c r="R172" s="191">
        <f t="shared" si="60"/>
        <v>-3.2827112397124246E-3</v>
      </c>
    </row>
    <row r="173" spans="1:19" x14ac:dyDescent="0.25">
      <c r="A173" s="111">
        <v>10</v>
      </c>
      <c r="B173" s="183">
        <f t="shared" si="54"/>
        <v>45200</v>
      </c>
      <c r="C173" s="203">
        <f t="shared" si="66"/>
        <v>45233</v>
      </c>
      <c r="D173" s="203">
        <f t="shared" si="66"/>
        <v>45254</v>
      </c>
      <c r="E173" s="211" t="s">
        <v>56</v>
      </c>
      <c r="F173" s="111">
        <v>9</v>
      </c>
      <c r="G173" s="185">
        <v>11</v>
      </c>
      <c r="H173" s="186">
        <f t="shared" si="64"/>
        <v>5.8995013464481114E-4</v>
      </c>
      <c r="I173" s="186">
        <f t="shared" si="53"/>
        <v>3.5379387159913887E-4</v>
      </c>
      <c r="J173" s="187">
        <f t="shared" si="55"/>
        <v>3.8917325875905276E-3</v>
      </c>
      <c r="K173" s="194">
        <f t="shared" si="49"/>
        <v>6.4894514810929227E-3</v>
      </c>
      <c r="L173" s="193">
        <f t="shared" si="65"/>
        <v>-2.5977188935023951E-3</v>
      </c>
      <c r="M173" s="190">
        <f t="shared" si="56"/>
        <v>-1.799598477927339E-4</v>
      </c>
      <c r="N173" s="191">
        <f t="shared" si="57"/>
        <v>-2.777678741295129E-3</v>
      </c>
      <c r="O173" s="190">
        <f t="shared" si="58"/>
        <v>0</v>
      </c>
      <c r="P173" s="190">
        <f t="shared" si="59"/>
        <v>0</v>
      </c>
      <c r="Q173" s="190">
        <v>0</v>
      </c>
      <c r="R173" s="191">
        <f t="shared" si="60"/>
        <v>-2.777678741295129E-3</v>
      </c>
    </row>
    <row r="174" spans="1:19" x14ac:dyDescent="0.25">
      <c r="A174" s="148">
        <v>11</v>
      </c>
      <c r="B174" s="183">
        <f t="shared" si="54"/>
        <v>45231</v>
      </c>
      <c r="C174" s="203">
        <f t="shared" si="66"/>
        <v>45266</v>
      </c>
      <c r="D174" s="203">
        <f t="shared" si="66"/>
        <v>45285</v>
      </c>
      <c r="E174" s="211" t="s">
        <v>56</v>
      </c>
      <c r="F174" s="111">
        <v>9</v>
      </c>
      <c r="G174" s="185">
        <v>7</v>
      </c>
      <c r="H174" s="186">
        <f t="shared" si="64"/>
        <v>5.8995013464481114E-4</v>
      </c>
      <c r="I174" s="186">
        <f t="shared" si="53"/>
        <v>3.5379387159913887E-4</v>
      </c>
      <c r="J174" s="187">
        <f t="shared" si="55"/>
        <v>2.4765571011939719E-3</v>
      </c>
      <c r="K174" s="194">
        <f t="shared" si="49"/>
        <v>4.1296509425136777E-3</v>
      </c>
      <c r="L174" s="193">
        <f t="shared" si="65"/>
        <v>-1.6530938413197058E-3</v>
      </c>
      <c r="M174" s="190">
        <f t="shared" si="56"/>
        <v>-1.1451990314083067E-4</v>
      </c>
      <c r="N174" s="191">
        <f t="shared" si="57"/>
        <v>-1.7676137444605365E-3</v>
      </c>
      <c r="O174" s="190">
        <f t="shared" si="58"/>
        <v>0</v>
      </c>
      <c r="P174" s="190">
        <f t="shared" si="59"/>
        <v>0</v>
      </c>
      <c r="Q174" s="190">
        <v>0</v>
      </c>
      <c r="R174" s="191">
        <f t="shared" si="60"/>
        <v>-1.7676137444605365E-3</v>
      </c>
    </row>
    <row r="175" spans="1:19" s="207" customFormat="1" x14ac:dyDescent="0.25">
      <c r="A175" s="148">
        <v>12</v>
      </c>
      <c r="B175" s="205">
        <f t="shared" si="54"/>
        <v>45261</v>
      </c>
      <c r="C175" s="203">
        <f t="shared" si="66"/>
        <v>45294</v>
      </c>
      <c r="D175" s="203">
        <f t="shared" si="66"/>
        <v>45315</v>
      </c>
      <c r="E175" s="212" t="s">
        <v>56</v>
      </c>
      <c r="F175" s="159">
        <v>9</v>
      </c>
      <c r="G175" s="185">
        <v>8</v>
      </c>
      <c r="H175" s="195">
        <f t="shared" si="64"/>
        <v>5.8995013464481114E-4</v>
      </c>
      <c r="I175" s="195">
        <f t="shared" si="53"/>
        <v>3.5379387159913887E-4</v>
      </c>
      <c r="J175" s="196">
        <f t="shared" si="55"/>
        <v>2.830350972793111E-3</v>
      </c>
      <c r="K175" s="197">
        <f t="shared" si="49"/>
        <v>4.7196010771584892E-3</v>
      </c>
      <c r="L175" s="198">
        <f t="shared" si="65"/>
        <v>-1.8892501043653782E-3</v>
      </c>
      <c r="M175" s="190">
        <f t="shared" si="56"/>
        <v>-1.3087988930380646E-4</v>
      </c>
      <c r="N175" s="191">
        <f t="shared" si="57"/>
        <v>-2.0201299936691845E-3</v>
      </c>
      <c r="O175" s="190">
        <f t="shared" si="58"/>
        <v>0</v>
      </c>
      <c r="P175" s="190">
        <f t="shared" si="59"/>
        <v>0</v>
      </c>
      <c r="Q175" s="190">
        <v>0</v>
      </c>
      <c r="R175" s="191">
        <f t="shared" si="60"/>
        <v>-2.0201299936691845E-3</v>
      </c>
    </row>
    <row r="176" spans="1:19" x14ac:dyDescent="0.25">
      <c r="A176" s="111">
        <v>1</v>
      </c>
      <c r="B176" s="183">
        <f t="shared" si="54"/>
        <v>44927</v>
      </c>
      <c r="C176" s="200">
        <f t="shared" ref="C176:D187" si="67">+C152</f>
        <v>44960</v>
      </c>
      <c r="D176" s="200">
        <f t="shared" si="67"/>
        <v>44981</v>
      </c>
      <c r="E176" s="210" t="s">
        <v>57</v>
      </c>
      <c r="F176" s="148">
        <v>9</v>
      </c>
      <c r="G176" s="185">
        <v>21</v>
      </c>
      <c r="H176" s="186">
        <f>+$K$3</f>
        <v>5.8995013464481114E-4</v>
      </c>
      <c r="I176" s="186">
        <f t="shared" si="53"/>
        <v>3.5379387159913887E-4</v>
      </c>
      <c r="J176" s="187">
        <f t="shared" si="55"/>
        <v>7.4296713035819162E-3</v>
      </c>
      <c r="K176" s="188">
        <f t="shared" si="49"/>
        <v>1.2388952827541034E-2</v>
      </c>
      <c r="L176" s="189">
        <f t="shared" si="65"/>
        <v>-4.9592815239591177E-3</v>
      </c>
      <c r="M176" s="190">
        <f t="shared" si="56"/>
        <v>-3.4355970942249201E-4</v>
      </c>
      <c r="N176" s="191">
        <f t="shared" si="57"/>
        <v>-5.30284123338161E-3</v>
      </c>
      <c r="O176" s="190">
        <f t="shared" si="58"/>
        <v>0</v>
      </c>
      <c r="P176" s="190">
        <f t="shared" si="59"/>
        <v>0</v>
      </c>
      <c r="Q176" s="190">
        <v>0</v>
      </c>
      <c r="R176" s="191">
        <f t="shared" si="60"/>
        <v>-5.30284123338161E-3</v>
      </c>
    </row>
    <row r="177" spans="1:18" x14ac:dyDescent="0.25">
      <c r="A177" s="148">
        <v>2</v>
      </c>
      <c r="B177" s="183">
        <f t="shared" si="54"/>
        <v>44958</v>
      </c>
      <c r="C177" s="203">
        <f t="shared" si="67"/>
        <v>44988</v>
      </c>
      <c r="D177" s="203">
        <f t="shared" si="67"/>
        <v>45009</v>
      </c>
      <c r="E177" s="52" t="s">
        <v>57</v>
      </c>
      <c r="F177" s="148">
        <v>9</v>
      </c>
      <c r="G177" s="185">
        <v>21</v>
      </c>
      <c r="H177" s="186">
        <f t="shared" ref="H177:H187" si="68">+$K$3</f>
        <v>5.8995013464481114E-4</v>
      </c>
      <c r="I177" s="186">
        <f t="shared" si="53"/>
        <v>3.5379387159913887E-4</v>
      </c>
      <c r="J177" s="187">
        <f t="shared" si="55"/>
        <v>7.4296713035819162E-3</v>
      </c>
      <c r="K177" s="188">
        <f t="shared" si="49"/>
        <v>1.2388952827541034E-2</v>
      </c>
      <c r="L177" s="189">
        <f t="shared" si="65"/>
        <v>-4.9592815239591177E-3</v>
      </c>
      <c r="M177" s="190">
        <f t="shared" si="56"/>
        <v>-3.4355970942249201E-4</v>
      </c>
      <c r="N177" s="191">
        <f t="shared" si="57"/>
        <v>-5.30284123338161E-3</v>
      </c>
      <c r="O177" s="190">
        <f t="shared" si="58"/>
        <v>0</v>
      </c>
      <c r="P177" s="190">
        <f t="shared" si="59"/>
        <v>0</v>
      </c>
      <c r="Q177" s="190">
        <v>0</v>
      </c>
      <c r="R177" s="191">
        <f t="shared" si="60"/>
        <v>-5.30284123338161E-3</v>
      </c>
    </row>
    <row r="178" spans="1:18" x14ac:dyDescent="0.25">
      <c r="A178" s="148">
        <v>3</v>
      </c>
      <c r="B178" s="183">
        <f t="shared" si="54"/>
        <v>44986</v>
      </c>
      <c r="C178" s="203">
        <f t="shared" si="67"/>
        <v>45021</v>
      </c>
      <c r="D178" s="203">
        <f t="shared" si="67"/>
        <v>45040</v>
      </c>
      <c r="E178" s="52" t="s">
        <v>57</v>
      </c>
      <c r="F178" s="148">
        <v>9</v>
      </c>
      <c r="G178" s="185">
        <v>19</v>
      </c>
      <c r="H178" s="186">
        <f t="shared" si="68"/>
        <v>5.8995013464481114E-4</v>
      </c>
      <c r="I178" s="186">
        <f t="shared" si="53"/>
        <v>3.5379387159913887E-4</v>
      </c>
      <c r="J178" s="187">
        <f t="shared" si="55"/>
        <v>6.7220835603836382E-3</v>
      </c>
      <c r="K178" s="188">
        <f t="shared" si="49"/>
        <v>1.1209052558251411E-2</v>
      </c>
      <c r="L178" s="189">
        <f>+J178-K178</f>
        <v>-4.4869689978677728E-3</v>
      </c>
      <c r="M178" s="190">
        <f t="shared" si="56"/>
        <v>-3.1083973709654042E-4</v>
      </c>
      <c r="N178" s="191">
        <f t="shared" si="57"/>
        <v>-4.7978087349643131E-3</v>
      </c>
      <c r="O178" s="190">
        <f t="shared" si="58"/>
        <v>0</v>
      </c>
      <c r="P178" s="190">
        <f t="shared" si="59"/>
        <v>0</v>
      </c>
      <c r="Q178" s="190">
        <v>0</v>
      </c>
      <c r="R178" s="191">
        <f t="shared" si="60"/>
        <v>-4.7978087349643131E-3</v>
      </c>
    </row>
    <row r="179" spans="1:18" x14ac:dyDescent="0.25">
      <c r="A179" s="111">
        <v>4</v>
      </c>
      <c r="B179" s="183">
        <f t="shared" si="54"/>
        <v>45017</v>
      </c>
      <c r="C179" s="203">
        <f t="shared" si="67"/>
        <v>45049</v>
      </c>
      <c r="D179" s="203">
        <f t="shared" si="67"/>
        <v>45070</v>
      </c>
      <c r="E179" s="52" t="s">
        <v>57</v>
      </c>
      <c r="F179" s="148">
        <v>9</v>
      </c>
      <c r="G179" s="185">
        <v>21</v>
      </c>
      <c r="H179" s="186">
        <f t="shared" si="68"/>
        <v>5.8995013464481114E-4</v>
      </c>
      <c r="I179" s="186">
        <f t="shared" si="53"/>
        <v>3.5379387159913887E-4</v>
      </c>
      <c r="J179" s="187">
        <f t="shared" si="55"/>
        <v>7.4296713035819162E-3</v>
      </c>
      <c r="K179" s="188">
        <f t="shared" si="49"/>
        <v>1.2388952827541034E-2</v>
      </c>
      <c r="L179" s="189">
        <f t="shared" ref="L179:L189" si="69">+J179-K179</f>
        <v>-4.9592815239591177E-3</v>
      </c>
      <c r="M179" s="190">
        <f t="shared" si="56"/>
        <v>-3.4355970942249201E-4</v>
      </c>
      <c r="N179" s="191">
        <f t="shared" si="57"/>
        <v>-5.30284123338161E-3</v>
      </c>
      <c r="O179" s="190">
        <f t="shared" si="58"/>
        <v>0</v>
      </c>
      <c r="P179" s="190">
        <f t="shared" si="59"/>
        <v>0</v>
      </c>
      <c r="Q179" s="190">
        <v>0</v>
      </c>
      <c r="R179" s="191">
        <f t="shared" si="60"/>
        <v>-5.30284123338161E-3</v>
      </c>
    </row>
    <row r="180" spans="1:18" x14ac:dyDescent="0.25">
      <c r="A180" s="148">
        <v>5</v>
      </c>
      <c r="B180" s="183">
        <f t="shared" si="54"/>
        <v>45047</v>
      </c>
      <c r="C180" s="203">
        <f t="shared" si="67"/>
        <v>45082</v>
      </c>
      <c r="D180" s="203">
        <f t="shared" si="67"/>
        <v>45103</v>
      </c>
      <c r="E180" s="52" t="s">
        <v>57</v>
      </c>
      <c r="F180" s="148">
        <v>9</v>
      </c>
      <c r="G180" s="185">
        <v>28</v>
      </c>
      <c r="H180" s="186">
        <f t="shared" si="68"/>
        <v>5.8995013464481114E-4</v>
      </c>
      <c r="I180" s="186">
        <f t="shared" ref="I180:I211" si="70">$J$3</f>
        <v>3.5379387159913887E-4</v>
      </c>
      <c r="J180" s="187">
        <f t="shared" si="55"/>
        <v>9.9062284047758877E-3</v>
      </c>
      <c r="K180" s="188">
        <f t="shared" si="49"/>
        <v>1.6518603770054711E-2</v>
      </c>
      <c r="L180" s="189">
        <f t="shared" si="69"/>
        <v>-6.612375365278823E-3</v>
      </c>
      <c r="M180" s="190">
        <f t="shared" si="56"/>
        <v>-4.5807961256332267E-4</v>
      </c>
      <c r="N180" s="191">
        <f t="shared" si="57"/>
        <v>-7.0704549778421461E-3</v>
      </c>
      <c r="O180" s="190">
        <f t="shared" si="58"/>
        <v>0</v>
      </c>
      <c r="P180" s="190">
        <f t="shared" si="59"/>
        <v>0</v>
      </c>
      <c r="Q180" s="190">
        <v>0</v>
      </c>
      <c r="R180" s="191">
        <f t="shared" si="60"/>
        <v>-7.0704549778421461E-3</v>
      </c>
    </row>
    <row r="181" spans="1:18" x14ac:dyDescent="0.25">
      <c r="A181" s="148">
        <v>6</v>
      </c>
      <c r="B181" s="183">
        <f t="shared" si="54"/>
        <v>45078</v>
      </c>
      <c r="C181" s="203">
        <f t="shared" si="67"/>
        <v>45112</v>
      </c>
      <c r="D181" s="203">
        <f t="shared" si="67"/>
        <v>45131</v>
      </c>
      <c r="E181" s="52" t="s">
        <v>57</v>
      </c>
      <c r="F181" s="148">
        <v>9</v>
      </c>
      <c r="G181" s="185">
        <v>37</v>
      </c>
      <c r="H181" s="186">
        <f t="shared" si="68"/>
        <v>5.8995013464481114E-4</v>
      </c>
      <c r="I181" s="186">
        <f t="shared" si="70"/>
        <v>3.5379387159913887E-4</v>
      </c>
      <c r="J181" s="187">
        <f t="shared" si="55"/>
        <v>1.3090373249168138E-2</v>
      </c>
      <c r="K181" s="188">
        <f t="shared" si="49"/>
        <v>2.1828154981858014E-2</v>
      </c>
      <c r="L181" s="193">
        <f t="shared" si="69"/>
        <v>-8.7377817326898758E-3</v>
      </c>
      <c r="M181" s="190">
        <f t="shared" si="56"/>
        <v>-6.0531948803010493E-4</v>
      </c>
      <c r="N181" s="191">
        <f t="shared" si="57"/>
        <v>-9.34310122071998E-3</v>
      </c>
      <c r="O181" s="190">
        <f t="shared" si="58"/>
        <v>0</v>
      </c>
      <c r="P181" s="190">
        <f t="shared" si="59"/>
        <v>0</v>
      </c>
      <c r="Q181" s="190">
        <v>0</v>
      </c>
      <c r="R181" s="191">
        <f t="shared" si="60"/>
        <v>-9.34310122071998E-3</v>
      </c>
    </row>
    <row r="182" spans="1:18" x14ac:dyDescent="0.25">
      <c r="A182" s="111">
        <v>7</v>
      </c>
      <c r="B182" s="183">
        <f t="shared" si="54"/>
        <v>45108</v>
      </c>
      <c r="C182" s="203">
        <f t="shared" si="67"/>
        <v>45141</v>
      </c>
      <c r="D182" s="203">
        <f t="shared" si="67"/>
        <v>45162</v>
      </c>
      <c r="E182" s="52" t="s">
        <v>57</v>
      </c>
      <c r="F182" s="148">
        <v>9</v>
      </c>
      <c r="G182" s="185">
        <v>38</v>
      </c>
      <c r="H182" s="186">
        <f t="shared" si="68"/>
        <v>5.8995013464481114E-4</v>
      </c>
      <c r="I182" s="186">
        <f t="shared" si="70"/>
        <v>3.5379387159913887E-4</v>
      </c>
      <c r="J182" s="187">
        <f t="shared" si="55"/>
        <v>1.3444167120767276E-2</v>
      </c>
      <c r="K182" s="194">
        <f t="shared" si="49"/>
        <v>2.2418105116502822E-2</v>
      </c>
      <c r="L182" s="193">
        <f t="shared" si="69"/>
        <v>-8.9739379957355456E-3</v>
      </c>
      <c r="M182" s="190">
        <f t="shared" si="56"/>
        <v>-6.2167947419308083E-4</v>
      </c>
      <c r="N182" s="191">
        <f t="shared" si="57"/>
        <v>-9.5956174699286263E-3</v>
      </c>
      <c r="O182" s="190">
        <f t="shared" si="58"/>
        <v>0</v>
      </c>
      <c r="P182" s="190">
        <f t="shared" si="59"/>
        <v>0</v>
      </c>
      <c r="Q182" s="190">
        <v>0</v>
      </c>
      <c r="R182" s="191">
        <f t="shared" si="60"/>
        <v>-9.5956174699286263E-3</v>
      </c>
    </row>
    <row r="183" spans="1:18" x14ac:dyDescent="0.25">
      <c r="A183" s="148">
        <v>8</v>
      </c>
      <c r="B183" s="183">
        <f t="shared" si="54"/>
        <v>45139</v>
      </c>
      <c r="C183" s="203">
        <f t="shared" si="67"/>
        <v>45174</v>
      </c>
      <c r="D183" s="203">
        <f t="shared" si="67"/>
        <v>45194</v>
      </c>
      <c r="E183" s="52" t="s">
        <v>57</v>
      </c>
      <c r="F183" s="148">
        <v>9</v>
      </c>
      <c r="G183" s="185">
        <v>40</v>
      </c>
      <c r="H183" s="186">
        <f t="shared" si="68"/>
        <v>5.8995013464481114E-4</v>
      </c>
      <c r="I183" s="186">
        <f t="shared" si="70"/>
        <v>3.5379387159913887E-4</v>
      </c>
      <c r="J183" s="187">
        <f t="shared" si="55"/>
        <v>1.4151754863965554E-2</v>
      </c>
      <c r="K183" s="194">
        <f t="shared" si="49"/>
        <v>2.3598005385792445E-2</v>
      </c>
      <c r="L183" s="193">
        <f t="shared" si="69"/>
        <v>-9.4462505218268905E-3</v>
      </c>
      <c r="M183" s="190">
        <f t="shared" si="56"/>
        <v>-6.5439944651903242E-4</v>
      </c>
      <c r="N183" s="191">
        <f t="shared" si="57"/>
        <v>-1.0100649968345922E-2</v>
      </c>
      <c r="O183" s="190">
        <f t="shared" si="58"/>
        <v>0</v>
      </c>
      <c r="P183" s="190">
        <f t="shared" si="59"/>
        <v>0</v>
      </c>
      <c r="Q183" s="190">
        <v>0</v>
      </c>
      <c r="R183" s="191">
        <f t="shared" si="60"/>
        <v>-1.0100649968345922E-2</v>
      </c>
    </row>
    <row r="184" spans="1:18" x14ac:dyDescent="0.25">
      <c r="A184" s="148">
        <v>9</v>
      </c>
      <c r="B184" s="183">
        <f t="shared" si="54"/>
        <v>45170</v>
      </c>
      <c r="C184" s="203">
        <f t="shared" si="67"/>
        <v>45203</v>
      </c>
      <c r="D184" s="203">
        <f t="shared" si="67"/>
        <v>45223</v>
      </c>
      <c r="E184" s="52" t="s">
        <v>57</v>
      </c>
      <c r="F184" s="148">
        <v>9</v>
      </c>
      <c r="G184" s="185">
        <v>37</v>
      </c>
      <c r="H184" s="186">
        <f t="shared" si="68"/>
        <v>5.8995013464481114E-4</v>
      </c>
      <c r="I184" s="186">
        <f t="shared" si="70"/>
        <v>3.5379387159913887E-4</v>
      </c>
      <c r="J184" s="187">
        <f t="shared" si="55"/>
        <v>1.3090373249168138E-2</v>
      </c>
      <c r="K184" s="194">
        <f t="shared" si="49"/>
        <v>2.1828154981858014E-2</v>
      </c>
      <c r="L184" s="193">
        <f t="shared" si="69"/>
        <v>-8.7377817326898758E-3</v>
      </c>
      <c r="M184" s="190">
        <f t="shared" si="56"/>
        <v>-6.0531948803010493E-4</v>
      </c>
      <c r="N184" s="191">
        <f t="shared" si="57"/>
        <v>-9.34310122071998E-3</v>
      </c>
      <c r="O184" s="190">
        <f t="shared" si="58"/>
        <v>0</v>
      </c>
      <c r="P184" s="190">
        <f t="shared" si="59"/>
        <v>0</v>
      </c>
      <c r="Q184" s="190">
        <v>0</v>
      </c>
      <c r="R184" s="191">
        <f t="shared" si="60"/>
        <v>-9.34310122071998E-3</v>
      </c>
    </row>
    <row r="185" spans="1:18" x14ac:dyDescent="0.25">
      <c r="A185" s="111">
        <v>10</v>
      </c>
      <c r="B185" s="183">
        <f t="shared" si="54"/>
        <v>45200</v>
      </c>
      <c r="C185" s="203">
        <f t="shared" si="67"/>
        <v>45233</v>
      </c>
      <c r="D185" s="203">
        <f t="shared" si="67"/>
        <v>45254</v>
      </c>
      <c r="E185" s="52" t="s">
        <v>57</v>
      </c>
      <c r="F185" s="148">
        <v>9</v>
      </c>
      <c r="G185" s="185">
        <v>30</v>
      </c>
      <c r="H185" s="186">
        <f t="shared" si="68"/>
        <v>5.8995013464481114E-4</v>
      </c>
      <c r="I185" s="186">
        <f t="shared" si="70"/>
        <v>3.5379387159913887E-4</v>
      </c>
      <c r="J185" s="187">
        <f t="shared" si="55"/>
        <v>1.0613816147974166E-2</v>
      </c>
      <c r="K185" s="194">
        <f t="shared" si="49"/>
        <v>1.7698504039344334E-2</v>
      </c>
      <c r="L185" s="193">
        <f t="shared" si="69"/>
        <v>-7.0846878913701679E-3</v>
      </c>
      <c r="M185" s="190">
        <f t="shared" si="56"/>
        <v>-4.9079958488927426E-4</v>
      </c>
      <c r="N185" s="191">
        <f t="shared" si="57"/>
        <v>-7.5754874762594421E-3</v>
      </c>
      <c r="O185" s="190">
        <f t="shared" si="58"/>
        <v>0</v>
      </c>
      <c r="P185" s="190">
        <f t="shared" si="59"/>
        <v>0</v>
      </c>
      <c r="Q185" s="190">
        <v>0</v>
      </c>
      <c r="R185" s="191">
        <f t="shared" si="60"/>
        <v>-7.5754874762594421E-3</v>
      </c>
    </row>
    <row r="186" spans="1:18" x14ac:dyDescent="0.25">
      <c r="A186" s="148">
        <v>11</v>
      </c>
      <c r="B186" s="183">
        <f t="shared" si="54"/>
        <v>45231</v>
      </c>
      <c r="C186" s="203">
        <f t="shared" si="67"/>
        <v>45266</v>
      </c>
      <c r="D186" s="203">
        <f t="shared" si="67"/>
        <v>45285</v>
      </c>
      <c r="E186" s="52" t="s">
        <v>57</v>
      </c>
      <c r="F186" s="148">
        <v>9</v>
      </c>
      <c r="G186" s="185">
        <v>19</v>
      </c>
      <c r="H186" s="186">
        <f t="shared" si="68"/>
        <v>5.8995013464481114E-4</v>
      </c>
      <c r="I186" s="186">
        <f t="shared" si="70"/>
        <v>3.5379387159913887E-4</v>
      </c>
      <c r="J186" s="187">
        <f t="shared" si="55"/>
        <v>6.7220835603836382E-3</v>
      </c>
      <c r="K186" s="194">
        <f t="shared" si="49"/>
        <v>1.1209052558251411E-2</v>
      </c>
      <c r="L186" s="193">
        <f t="shared" si="69"/>
        <v>-4.4869689978677728E-3</v>
      </c>
      <c r="M186" s="190">
        <f t="shared" si="56"/>
        <v>-3.1083973709654042E-4</v>
      </c>
      <c r="N186" s="191">
        <f t="shared" si="57"/>
        <v>-4.7978087349643131E-3</v>
      </c>
      <c r="O186" s="190">
        <f t="shared" si="58"/>
        <v>0</v>
      </c>
      <c r="P186" s="190">
        <f t="shared" si="59"/>
        <v>0</v>
      </c>
      <c r="Q186" s="190">
        <v>0</v>
      </c>
      <c r="R186" s="191">
        <f t="shared" si="60"/>
        <v>-4.7978087349643131E-3</v>
      </c>
    </row>
    <row r="187" spans="1:18" s="207" customFormat="1" x14ac:dyDescent="0.25">
      <c r="A187" s="148">
        <v>12</v>
      </c>
      <c r="B187" s="205">
        <f t="shared" si="54"/>
        <v>45261</v>
      </c>
      <c r="C187" s="203">
        <f t="shared" si="67"/>
        <v>45294</v>
      </c>
      <c r="D187" s="203">
        <f t="shared" si="67"/>
        <v>45315</v>
      </c>
      <c r="E187" s="206" t="s">
        <v>57</v>
      </c>
      <c r="F187" s="159">
        <v>9</v>
      </c>
      <c r="G187" s="185">
        <v>20</v>
      </c>
      <c r="H187" s="195">
        <f t="shared" si="68"/>
        <v>5.8995013464481114E-4</v>
      </c>
      <c r="I187" s="195">
        <f t="shared" si="70"/>
        <v>3.5379387159913887E-4</v>
      </c>
      <c r="J187" s="196">
        <f t="shared" si="55"/>
        <v>7.0758774319827772E-3</v>
      </c>
      <c r="K187" s="197">
        <f t="shared" si="49"/>
        <v>1.1799002692896222E-2</v>
      </c>
      <c r="L187" s="198">
        <f t="shared" si="69"/>
        <v>-4.7231252609134453E-3</v>
      </c>
      <c r="M187" s="190">
        <f t="shared" si="56"/>
        <v>-3.2719972325951621E-4</v>
      </c>
      <c r="N187" s="191">
        <f t="shared" si="57"/>
        <v>-5.0503249841729611E-3</v>
      </c>
      <c r="O187" s="190">
        <f t="shared" si="58"/>
        <v>0</v>
      </c>
      <c r="P187" s="190">
        <f t="shared" si="59"/>
        <v>0</v>
      </c>
      <c r="Q187" s="190">
        <v>0</v>
      </c>
      <c r="R187" s="191">
        <f t="shared" si="60"/>
        <v>-5.0503249841729611E-3</v>
      </c>
    </row>
    <row r="188" spans="1:18" x14ac:dyDescent="0.25">
      <c r="A188" s="111">
        <v>1</v>
      </c>
      <c r="B188" s="183">
        <f t="shared" si="54"/>
        <v>44927</v>
      </c>
      <c r="C188" s="200">
        <f t="shared" ref="C188:D211" si="71">+C176</f>
        <v>44960</v>
      </c>
      <c r="D188" s="200">
        <f t="shared" si="71"/>
        <v>44981</v>
      </c>
      <c r="E188" s="184" t="s">
        <v>58</v>
      </c>
      <c r="F188" s="111">
        <v>9</v>
      </c>
      <c r="G188" s="185">
        <v>36</v>
      </c>
      <c r="H188" s="186">
        <f>+$K$3</f>
        <v>5.8995013464481114E-4</v>
      </c>
      <c r="I188" s="186">
        <f t="shared" si="70"/>
        <v>3.5379387159913887E-4</v>
      </c>
      <c r="J188" s="187">
        <f t="shared" si="55"/>
        <v>1.2736579377569E-2</v>
      </c>
      <c r="K188" s="188">
        <f t="shared" si="49"/>
        <v>2.1238204847213202E-2</v>
      </c>
      <c r="L188" s="189">
        <f t="shared" si="69"/>
        <v>-8.5016254696442025E-3</v>
      </c>
      <c r="M188" s="190">
        <f t="shared" si="56"/>
        <v>-5.8895950186712914E-4</v>
      </c>
      <c r="N188" s="191">
        <f t="shared" si="57"/>
        <v>-9.090584971511332E-3</v>
      </c>
      <c r="O188" s="190">
        <f t="shared" si="58"/>
        <v>0</v>
      </c>
      <c r="P188" s="190">
        <f t="shared" si="59"/>
        <v>0</v>
      </c>
      <c r="Q188" s="190">
        <v>0</v>
      </c>
      <c r="R188" s="191">
        <f t="shared" si="60"/>
        <v>-9.090584971511332E-3</v>
      </c>
    </row>
    <row r="189" spans="1:18" x14ac:dyDescent="0.25">
      <c r="A189" s="148">
        <v>2</v>
      </c>
      <c r="B189" s="183">
        <f t="shared" si="54"/>
        <v>44958</v>
      </c>
      <c r="C189" s="203">
        <f t="shared" si="71"/>
        <v>44988</v>
      </c>
      <c r="D189" s="203">
        <f t="shared" si="71"/>
        <v>45009</v>
      </c>
      <c r="E189" s="192" t="s">
        <v>58</v>
      </c>
      <c r="F189" s="148">
        <v>9</v>
      </c>
      <c r="G189" s="185">
        <v>32</v>
      </c>
      <c r="H189" s="186">
        <f t="shared" ref="H189:H199" si="72">+$K$3</f>
        <v>5.8995013464481114E-4</v>
      </c>
      <c r="I189" s="186">
        <f t="shared" si="70"/>
        <v>3.5379387159913887E-4</v>
      </c>
      <c r="J189" s="187">
        <f t="shared" si="55"/>
        <v>1.1321403891172444E-2</v>
      </c>
      <c r="K189" s="188">
        <f t="shared" si="49"/>
        <v>1.8878404308633957E-2</v>
      </c>
      <c r="L189" s="189">
        <f t="shared" si="69"/>
        <v>-7.5570004174615128E-3</v>
      </c>
      <c r="M189" s="190">
        <f t="shared" si="56"/>
        <v>-5.2351955721522585E-4</v>
      </c>
      <c r="N189" s="191">
        <f t="shared" si="57"/>
        <v>-8.0805199746767382E-3</v>
      </c>
      <c r="O189" s="190">
        <f t="shared" si="58"/>
        <v>0</v>
      </c>
      <c r="P189" s="190">
        <f t="shared" si="59"/>
        <v>0</v>
      </c>
      <c r="Q189" s="190">
        <v>0</v>
      </c>
      <c r="R189" s="191">
        <f t="shared" si="60"/>
        <v>-8.0805199746767382E-3</v>
      </c>
    </row>
    <row r="190" spans="1:18" x14ac:dyDescent="0.25">
      <c r="A190" s="148">
        <v>3</v>
      </c>
      <c r="B190" s="183">
        <f t="shared" si="54"/>
        <v>44986</v>
      </c>
      <c r="C190" s="203">
        <f t="shared" si="71"/>
        <v>45021</v>
      </c>
      <c r="D190" s="203">
        <f t="shared" si="71"/>
        <v>45040</v>
      </c>
      <c r="E190" s="192" t="s">
        <v>58</v>
      </c>
      <c r="F190" s="148">
        <v>9</v>
      </c>
      <c r="G190" s="185">
        <v>32</v>
      </c>
      <c r="H190" s="186">
        <f t="shared" si="72"/>
        <v>5.8995013464481114E-4</v>
      </c>
      <c r="I190" s="186">
        <f t="shared" si="70"/>
        <v>3.5379387159913887E-4</v>
      </c>
      <c r="J190" s="187">
        <f t="shared" si="55"/>
        <v>1.1321403891172444E-2</v>
      </c>
      <c r="K190" s="188">
        <f t="shared" si="49"/>
        <v>1.8878404308633957E-2</v>
      </c>
      <c r="L190" s="189">
        <f>+J190-K190</f>
        <v>-7.5570004174615128E-3</v>
      </c>
      <c r="M190" s="190">
        <f t="shared" si="56"/>
        <v>-5.2351955721522585E-4</v>
      </c>
      <c r="N190" s="191">
        <f t="shared" si="57"/>
        <v>-8.0805199746767382E-3</v>
      </c>
      <c r="O190" s="190">
        <f t="shared" si="58"/>
        <v>0</v>
      </c>
      <c r="P190" s="190">
        <f t="shared" si="59"/>
        <v>0</v>
      </c>
      <c r="Q190" s="190">
        <v>0</v>
      </c>
      <c r="R190" s="191">
        <f t="shared" si="60"/>
        <v>-8.0805199746767382E-3</v>
      </c>
    </row>
    <row r="191" spans="1:18" x14ac:dyDescent="0.25">
      <c r="A191" s="111">
        <v>4</v>
      </c>
      <c r="B191" s="183">
        <f t="shared" si="54"/>
        <v>45017</v>
      </c>
      <c r="C191" s="203">
        <f t="shared" si="71"/>
        <v>45049</v>
      </c>
      <c r="D191" s="203">
        <f t="shared" si="71"/>
        <v>45070</v>
      </c>
      <c r="E191" s="52" t="s">
        <v>58</v>
      </c>
      <c r="F191" s="148">
        <v>9</v>
      </c>
      <c r="G191" s="185">
        <v>31</v>
      </c>
      <c r="H191" s="186">
        <f t="shared" si="72"/>
        <v>5.8995013464481114E-4</v>
      </c>
      <c r="I191" s="186">
        <f t="shared" si="70"/>
        <v>3.5379387159913887E-4</v>
      </c>
      <c r="J191" s="187">
        <f t="shared" si="55"/>
        <v>1.0967610019573306E-2</v>
      </c>
      <c r="K191" s="188">
        <f t="shared" si="49"/>
        <v>1.8288454173989145E-2</v>
      </c>
      <c r="L191" s="189">
        <f t="shared" ref="L191:L201" si="73">+J191-K191</f>
        <v>-7.3208441544158395E-3</v>
      </c>
      <c r="M191" s="190">
        <f t="shared" si="56"/>
        <v>-5.0715957105225006E-4</v>
      </c>
      <c r="N191" s="191">
        <f t="shared" si="57"/>
        <v>-7.8280037254680902E-3</v>
      </c>
      <c r="O191" s="190">
        <f t="shared" si="58"/>
        <v>0</v>
      </c>
      <c r="P191" s="190">
        <f t="shared" si="59"/>
        <v>0</v>
      </c>
      <c r="Q191" s="190">
        <v>0</v>
      </c>
      <c r="R191" s="191">
        <f t="shared" si="60"/>
        <v>-7.8280037254680902E-3</v>
      </c>
    </row>
    <row r="192" spans="1:18" x14ac:dyDescent="0.25">
      <c r="A192" s="148">
        <v>5</v>
      </c>
      <c r="B192" s="183">
        <f t="shared" si="54"/>
        <v>45047</v>
      </c>
      <c r="C192" s="203">
        <f t="shared" si="71"/>
        <v>45082</v>
      </c>
      <c r="D192" s="203">
        <f t="shared" si="71"/>
        <v>45103</v>
      </c>
      <c r="E192" s="52" t="s">
        <v>58</v>
      </c>
      <c r="F192" s="148">
        <v>9</v>
      </c>
      <c r="G192" s="185">
        <v>38</v>
      </c>
      <c r="H192" s="186">
        <f t="shared" si="72"/>
        <v>5.8995013464481114E-4</v>
      </c>
      <c r="I192" s="186">
        <f t="shared" si="70"/>
        <v>3.5379387159913887E-4</v>
      </c>
      <c r="J192" s="187">
        <f t="shared" si="55"/>
        <v>1.3444167120767276E-2</v>
      </c>
      <c r="K192" s="188">
        <f t="shared" si="49"/>
        <v>2.2418105116502822E-2</v>
      </c>
      <c r="L192" s="189">
        <f t="shared" si="73"/>
        <v>-8.9739379957355456E-3</v>
      </c>
      <c r="M192" s="190">
        <f t="shared" si="56"/>
        <v>-6.2167947419308083E-4</v>
      </c>
      <c r="N192" s="191">
        <f t="shared" si="57"/>
        <v>-9.5956174699286263E-3</v>
      </c>
      <c r="O192" s="190">
        <f t="shared" si="58"/>
        <v>0</v>
      </c>
      <c r="P192" s="190">
        <f t="shared" si="59"/>
        <v>0</v>
      </c>
      <c r="Q192" s="190">
        <v>0</v>
      </c>
      <c r="R192" s="191">
        <f t="shared" si="60"/>
        <v>-9.5956174699286263E-3</v>
      </c>
    </row>
    <row r="193" spans="1:18" x14ac:dyDescent="0.25">
      <c r="A193" s="148">
        <v>6</v>
      </c>
      <c r="B193" s="183">
        <f t="shared" si="54"/>
        <v>45078</v>
      </c>
      <c r="C193" s="203">
        <f t="shared" si="71"/>
        <v>45112</v>
      </c>
      <c r="D193" s="203">
        <f t="shared" si="71"/>
        <v>45131</v>
      </c>
      <c r="E193" s="52" t="s">
        <v>58</v>
      </c>
      <c r="F193" s="148">
        <v>9</v>
      </c>
      <c r="G193" s="185">
        <v>48</v>
      </c>
      <c r="H193" s="186">
        <f t="shared" si="72"/>
        <v>5.8995013464481114E-4</v>
      </c>
      <c r="I193" s="186">
        <f t="shared" si="70"/>
        <v>3.5379387159913887E-4</v>
      </c>
      <c r="J193" s="187">
        <f t="shared" si="55"/>
        <v>1.6982105836758667E-2</v>
      </c>
      <c r="K193" s="188">
        <f t="shared" si="49"/>
        <v>2.8317606462950937E-2</v>
      </c>
      <c r="L193" s="193">
        <f t="shared" si="73"/>
        <v>-1.133550062619227E-2</v>
      </c>
      <c r="M193" s="190">
        <f t="shared" si="56"/>
        <v>-7.8527933582283878E-4</v>
      </c>
      <c r="N193" s="191">
        <f t="shared" si="57"/>
        <v>-1.2120779962015108E-2</v>
      </c>
      <c r="O193" s="190">
        <f t="shared" si="58"/>
        <v>0</v>
      </c>
      <c r="P193" s="190">
        <f t="shared" si="59"/>
        <v>0</v>
      </c>
      <c r="Q193" s="190">
        <v>0</v>
      </c>
      <c r="R193" s="191">
        <f t="shared" si="60"/>
        <v>-1.2120779962015108E-2</v>
      </c>
    </row>
    <row r="194" spans="1:18" x14ac:dyDescent="0.25">
      <c r="A194" s="111">
        <v>7</v>
      </c>
      <c r="B194" s="183">
        <f t="shared" si="54"/>
        <v>45108</v>
      </c>
      <c r="C194" s="203">
        <f t="shared" si="71"/>
        <v>45141</v>
      </c>
      <c r="D194" s="203">
        <f t="shared" si="71"/>
        <v>45162</v>
      </c>
      <c r="E194" s="52" t="s">
        <v>58</v>
      </c>
      <c r="F194" s="148">
        <v>9</v>
      </c>
      <c r="G194" s="185">
        <v>49</v>
      </c>
      <c r="H194" s="186">
        <f t="shared" si="72"/>
        <v>5.8995013464481114E-4</v>
      </c>
      <c r="I194" s="186">
        <f t="shared" si="70"/>
        <v>3.5379387159913887E-4</v>
      </c>
      <c r="J194" s="187">
        <f t="shared" si="55"/>
        <v>1.7335899708357805E-2</v>
      </c>
      <c r="K194" s="194">
        <f t="shared" si="49"/>
        <v>2.8907556597595745E-2</v>
      </c>
      <c r="L194" s="193">
        <f t="shared" si="73"/>
        <v>-1.157165688923794E-2</v>
      </c>
      <c r="M194" s="190">
        <f t="shared" si="56"/>
        <v>-8.0163932198581457E-4</v>
      </c>
      <c r="N194" s="191">
        <f t="shared" si="57"/>
        <v>-1.2373296211223754E-2</v>
      </c>
      <c r="O194" s="190">
        <f t="shared" si="58"/>
        <v>0</v>
      </c>
      <c r="P194" s="190">
        <f t="shared" si="59"/>
        <v>0</v>
      </c>
      <c r="Q194" s="190">
        <v>0</v>
      </c>
      <c r="R194" s="191">
        <f t="shared" si="60"/>
        <v>-1.2373296211223754E-2</v>
      </c>
    </row>
    <row r="195" spans="1:18" x14ac:dyDescent="0.25">
      <c r="A195" s="148">
        <v>8</v>
      </c>
      <c r="B195" s="183">
        <f t="shared" si="54"/>
        <v>45139</v>
      </c>
      <c r="C195" s="203">
        <f t="shared" si="71"/>
        <v>45174</v>
      </c>
      <c r="D195" s="203">
        <f t="shared" si="71"/>
        <v>45194</v>
      </c>
      <c r="E195" s="52" t="s">
        <v>58</v>
      </c>
      <c r="F195" s="148">
        <v>9</v>
      </c>
      <c r="G195" s="185">
        <v>50</v>
      </c>
      <c r="H195" s="186">
        <f t="shared" si="72"/>
        <v>5.8995013464481114E-4</v>
      </c>
      <c r="I195" s="186">
        <f t="shared" si="70"/>
        <v>3.5379387159913887E-4</v>
      </c>
      <c r="J195" s="187">
        <f t="shared" si="55"/>
        <v>1.7689693579956943E-2</v>
      </c>
      <c r="K195" s="194">
        <f t="shared" si="49"/>
        <v>2.9497506732240556E-2</v>
      </c>
      <c r="L195" s="193">
        <f t="shared" si="73"/>
        <v>-1.1807813152283613E-2</v>
      </c>
      <c r="M195" s="190">
        <f t="shared" si="56"/>
        <v>-8.1799930814879037E-4</v>
      </c>
      <c r="N195" s="191">
        <f t="shared" si="57"/>
        <v>-1.2625812460432404E-2</v>
      </c>
      <c r="O195" s="190">
        <f t="shared" si="58"/>
        <v>0</v>
      </c>
      <c r="P195" s="190">
        <f t="shared" si="59"/>
        <v>0</v>
      </c>
      <c r="Q195" s="190">
        <v>0</v>
      </c>
      <c r="R195" s="191">
        <f t="shared" si="60"/>
        <v>-1.2625812460432404E-2</v>
      </c>
    </row>
    <row r="196" spans="1:18" x14ac:dyDescent="0.25">
      <c r="A196" s="148">
        <v>9</v>
      </c>
      <c r="B196" s="183">
        <f t="shared" si="54"/>
        <v>45170</v>
      </c>
      <c r="C196" s="203">
        <f t="shared" si="71"/>
        <v>45203</v>
      </c>
      <c r="D196" s="203">
        <f t="shared" si="71"/>
        <v>45223</v>
      </c>
      <c r="E196" s="52" t="s">
        <v>58</v>
      </c>
      <c r="F196" s="148">
        <v>9</v>
      </c>
      <c r="G196" s="185">
        <v>47</v>
      </c>
      <c r="H196" s="186">
        <f t="shared" si="72"/>
        <v>5.8995013464481114E-4</v>
      </c>
      <c r="I196" s="186">
        <f t="shared" si="70"/>
        <v>3.5379387159913887E-4</v>
      </c>
      <c r="J196" s="187">
        <f t="shared" si="55"/>
        <v>1.6628311965159528E-2</v>
      </c>
      <c r="K196" s="194">
        <f t="shared" si="49"/>
        <v>2.7727656328306125E-2</v>
      </c>
      <c r="L196" s="193">
        <f t="shared" si="73"/>
        <v>-1.1099344363146597E-2</v>
      </c>
      <c r="M196" s="190">
        <f t="shared" si="56"/>
        <v>-7.6891934965986298E-4</v>
      </c>
      <c r="N196" s="191">
        <f t="shared" si="57"/>
        <v>-1.186826371280646E-2</v>
      </c>
      <c r="O196" s="190">
        <f t="shared" si="58"/>
        <v>0</v>
      </c>
      <c r="P196" s="190">
        <f t="shared" si="59"/>
        <v>0</v>
      </c>
      <c r="Q196" s="190">
        <v>0</v>
      </c>
      <c r="R196" s="191">
        <f t="shared" si="60"/>
        <v>-1.186826371280646E-2</v>
      </c>
    </row>
    <row r="197" spans="1:18" x14ac:dyDescent="0.25">
      <c r="A197" s="111">
        <v>10</v>
      </c>
      <c r="B197" s="183">
        <f t="shared" si="54"/>
        <v>45200</v>
      </c>
      <c r="C197" s="203">
        <f t="shared" si="71"/>
        <v>45233</v>
      </c>
      <c r="D197" s="203">
        <f t="shared" si="71"/>
        <v>45254</v>
      </c>
      <c r="E197" s="52" t="s">
        <v>58</v>
      </c>
      <c r="F197" s="148">
        <v>9</v>
      </c>
      <c r="G197" s="185">
        <v>36</v>
      </c>
      <c r="H197" s="186">
        <f t="shared" si="72"/>
        <v>5.8995013464481114E-4</v>
      </c>
      <c r="I197" s="186">
        <f t="shared" si="70"/>
        <v>3.5379387159913887E-4</v>
      </c>
      <c r="J197" s="187">
        <f t="shared" si="55"/>
        <v>1.2736579377569E-2</v>
      </c>
      <c r="K197" s="194">
        <f t="shared" si="49"/>
        <v>2.1238204847213202E-2</v>
      </c>
      <c r="L197" s="193">
        <f t="shared" si="73"/>
        <v>-8.5016254696442025E-3</v>
      </c>
      <c r="M197" s="190">
        <f t="shared" si="56"/>
        <v>-5.8895950186712914E-4</v>
      </c>
      <c r="N197" s="191">
        <f t="shared" si="57"/>
        <v>-9.090584971511332E-3</v>
      </c>
      <c r="O197" s="190">
        <f t="shared" si="58"/>
        <v>0</v>
      </c>
      <c r="P197" s="190">
        <f t="shared" si="59"/>
        <v>0</v>
      </c>
      <c r="Q197" s="190">
        <v>0</v>
      </c>
      <c r="R197" s="191">
        <f t="shared" si="60"/>
        <v>-9.090584971511332E-3</v>
      </c>
    </row>
    <row r="198" spans="1:18" x14ac:dyDescent="0.25">
      <c r="A198" s="148">
        <v>11</v>
      </c>
      <c r="B198" s="183">
        <f t="shared" si="54"/>
        <v>45231</v>
      </c>
      <c r="C198" s="203">
        <f t="shared" si="71"/>
        <v>45266</v>
      </c>
      <c r="D198" s="203">
        <f t="shared" si="71"/>
        <v>45285</v>
      </c>
      <c r="E198" s="52" t="s">
        <v>58</v>
      </c>
      <c r="F198" s="148">
        <v>9</v>
      </c>
      <c r="G198" s="185">
        <v>26</v>
      </c>
      <c r="H198" s="186">
        <f t="shared" si="72"/>
        <v>5.8995013464481114E-4</v>
      </c>
      <c r="I198" s="186">
        <f t="shared" si="70"/>
        <v>3.5379387159913887E-4</v>
      </c>
      <c r="J198" s="187">
        <f t="shared" si="55"/>
        <v>9.1986406615776114E-3</v>
      </c>
      <c r="K198" s="194">
        <f t="shared" ref="K198:K209" si="74">+$G198*H198</f>
        <v>1.533870350076509E-2</v>
      </c>
      <c r="L198" s="193">
        <f t="shared" si="73"/>
        <v>-6.1400628391874781E-3</v>
      </c>
      <c r="M198" s="190">
        <f t="shared" si="56"/>
        <v>-4.2535964023737098E-4</v>
      </c>
      <c r="N198" s="191">
        <f t="shared" si="57"/>
        <v>-6.5654224794248492E-3</v>
      </c>
      <c r="O198" s="190">
        <f t="shared" si="58"/>
        <v>0</v>
      </c>
      <c r="P198" s="190">
        <f t="shared" si="59"/>
        <v>0</v>
      </c>
      <c r="Q198" s="190">
        <v>0</v>
      </c>
      <c r="R198" s="191">
        <f t="shared" si="60"/>
        <v>-6.5654224794248492E-3</v>
      </c>
    </row>
    <row r="199" spans="1:18" s="207" customFormat="1" x14ac:dyDescent="0.25">
      <c r="A199" s="148">
        <v>12</v>
      </c>
      <c r="B199" s="205">
        <f t="shared" si="54"/>
        <v>45261</v>
      </c>
      <c r="C199" s="203">
        <f t="shared" si="71"/>
        <v>45294</v>
      </c>
      <c r="D199" s="203">
        <f t="shared" si="71"/>
        <v>45315</v>
      </c>
      <c r="E199" s="206" t="s">
        <v>58</v>
      </c>
      <c r="F199" s="159">
        <v>9</v>
      </c>
      <c r="G199" s="185">
        <v>31</v>
      </c>
      <c r="H199" s="195">
        <f t="shared" si="72"/>
        <v>5.8995013464481114E-4</v>
      </c>
      <c r="I199" s="195">
        <f t="shared" si="70"/>
        <v>3.5379387159913887E-4</v>
      </c>
      <c r="J199" s="196">
        <f t="shared" si="55"/>
        <v>1.0967610019573306E-2</v>
      </c>
      <c r="K199" s="197">
        <f t="shared" si="74"/>
        <v>1.8288454173989145E-2</v>
      </c>
      <c r="L199" s="198">
        <f t="shared" si="73"/>
        <v>-7.3208441544158395E-3</v>
      </c>
      <c r="M199" s="190">
        <f t="shared" si="56"/>
        <v>-5.0715957105225006E-4</v>
      </c>
      <c r="N199" s="191">
        <f t="shared" si="57"/>
        <v>-7.8280037254680902E-3</v>
      </c>
      <c r="O199" s="190">
        <f t="shared" si="58"/>
        <v>0</v>
      </c>
      <c r="P199" s="190">
        <f t="shared" si="59"/>
        <v>0</v>
      </c>
      <c r="Q199" s="190">
        <v>0</v>
      </c>
      <c r="R199" s="191">
        <f t="shared" si="60"/>
        <v>-7.8280037254680902E-3</v>
      </c>
    </row>
    <row r="200" spans="1:18" x14ac:dyDescent="0.25">
      <c r="A200" s="111">
        <v>1</v>
      </c>
      <c r="B200" s="183">
        <f t="shared" si="54"/>
        <v>44927</v>
      </c>
      <c r="C200" s="200">
        <f t="shared" si="71"/>
        <v>44960</v>
      </c>
      <c r="D200" s="200">
        <f t="shared" si="71"/>
        <v>44981</v>
      </c>
      <c r="E200" s="184" t="s">
        <v>17</v>
      </c>
      <c r="F200" s="111">
        <v>9</v>
      </c>
      <c r="G200" s="185">
        <v>104</v>
      </c>
      <c r="H200" s="186">
        <f>+$K$3</f>
        <v>5.8995013464481114E-4</v>
      </c>
      <c r="I200" s="186">
        <f t="shared" si="70"/>
        <v>3.5379387159913887E-4</v>
      </c>
      <c r="J200" s="187">
        <f t="shared" si="55"/>
        <v>3.6794562646310446E-2</v>
      </c>
      <c r="K200" s="188">
        <f t="shared" si="74"/>
        <v>6.1354814003060358E-2</v>
      </c>
      <c r="L200" s="189">
        <f t="shared" si="73"/>
        <v>-2.4560251356749913E-2</v>
      </c>
      <c r="M200" s="190">
        <f t="shared" si="56"/>
        <v>-1.7014385609494839E-3</v>
      </c>
      <c r="N200" s="191">
        <f t="shared" si="57"/>
        <v>-2.6261689917699397E-2</v>
      </c>
      <c r="O200" s="190">
        <f t="shared" si="58"/>
        <v>0</v>
      </c>
      <c r="P200" s="190">
        <f t="shared" si="59"/>
        <v>0</v>
      </c>
      <c r="Q200" s="190">
        <v>0</v>
      </c>
      <c r="R200" s="191">
        <f t="shared" si="60"/>
        <v>-2.6261689917699397E-2</v>
      </c>
    </row>
    <row r="201" spans="1:18" x14ac:dyDescent="0.25">
      <c r="A201" s="148">
        <v>2</v>
      </c>
      <c r="B201" s="183">
        <f t="shared" si="54"/>
        <v>44958</v>
      </c>
      <c r="C201" s="203">
        <f t="shared" si="71"/>
        <v>44988</v>
      </c>
      <c r="D201" s="203">
        <f t="shared" si="71"/>
        <v>45009</v>
      </c>
      <c r="E201" s="192" t="s">
        <v>17</v>
      </c>
      <c r="F201" s="148">
        <v>9</v>
      </c>
      <c r="G201" s="185">
        <v>107</v>
      </c>
      <c r="H201" s="186">
        <f t="shared" ref="H201:H211" si="75">+$K$3</f>
        <v>5.8995013464481114E-4</v>
      </c>
      <c r="I201" s="186">
        <f t="shared" si="70"/>
        <v>3.5379387159913887E-4</v>
      </c>
      <c r="J201" s="187">
        <f t="shared" si="55"/>
        <v>3.785594426110786E-2</v>
      </c>
      <c r="K201" s="188">
        <f t="shared" si="74"/>
        <v>6.3124664406994796E-2</v>
      </c>
      <c r="L201" s="189">
        <f t="shared" si="73"/>
        <v>-2.5268720145886936E-2</v>
      </c>
      <c r="M201" s="190">
        <f t="shared" si="56"/>
        <v>-1.7505185194384115E-3</v>
      </c>
      <c r="N201" s="191">
        <f t="shared" si="57"/>
        <v>-2.7019238665325348E-2</v>
      </c>
      <c r="O201" s="190">
        <f t="shared" si="58"/>
        <v>0</v>
      </c>
      <c r="P201" s="190">
        <f t="shared" si="59"/>
        <v>0</v>
      </c>
      <c r="Q201" s="190">
        <v>0</v>
      </c>
      <c r="R201" s="191">
        <f t="shared" si="60"/>
        <v>-2.7019238665325348E-2</v>
      </c>
    </row>
    <row r="202" spans="1:18" x14ac:dyDescent="0.25">
      <c r="A202" s="148">
        <v>3</v>
      </c>
      <c r="B202" s="183">
        <f t="shared" si="54"/>
        <v>44986</v>
      </c>
      <c r="C202" s="203">
        <f t="shared" si="71"/>
        <v>45021</v>
      </c>
      <c r="D202" s="203">
        <f t="shared" si="71"/>
        <v>45040</v>
      </c>
      <c r="E202" s="192" t="s">
        <v>17</v>
      </c>
      <c r="F202" s="148">
        <v>9</v>
      </c>
      <c r="G202" s="185">
        <v>103</v>
      </c>
      <c r="H202" s="186">
        <f t="shared" si="75"/>
        <v>5.8995013464481114E-4</v>
      </c>
      <c r="I202" s="186">
        <f t="shared" si="70"/>
        <v>3.5379387159913887E-4</v>
      </c>
      <c r="J202" s="187">
        <f t="shared" si="55"/>
        <v>3.64407687747113E-2</v>
      </c>
      <c r="K202" s="188">
        <f t="shared" si="74"/>
        <v>6.076486386841555E-2</v>
      </c>
      <c r="L202" s="189">
        <f>+J202-K202</f>
        <v>-2.432409509370425E-2</v>
      </c>
      <c r="M202" s="190">
        <f t="shared" si="56"/>
        <v>-1.6850785747865083E-3</v>
      </c>
      <c r="N202" s="191">
        <f t="shared" si="57"/>
        <v>-2.6009173668490759E-2</v>
      </c>
      <c r="O202" s="190">
        <f t="shared" si="58"/>
        <v>0</v>
      </c>
      <c r="P202" s="190">
        <f t="shared" si="59"/>
        <v>0</v>
      </c>
      <c r="Q202" s="190">
        <v>0</v>
      </c>
      <c r="R202" s="191">
        <f t="shared" si="60"/>
        <v>-2.6009173668490759E-2</v>
      </c>
    </row>
    <row r="203" spans="1:18" x14ac:dyDescent="0.25">
      <c r="A203" s="111">
        <v>4</v>
      </c>
      <c r="B203" s="183">
        <f t="shared" si="54"/>
        <v>45017</v>
      </c>
      <c r="C203" s="203">
        <f t="shared" si="71"/>
        <v>45049</v>
      </c>
      <c r="D203" s="203">
        <f t="shared" si="71"/>
        <v>45070</v>
      </c>
      <c r="E203" s="192" t="s">
        <v>17</v>
      </c>
      <c r="F203" s="148">
        <v>9</v>
      </c>
      <c r="G203" s="185">
        <v>98</v>
      </c>
      <c r="H203" s="186">
        <f t="shared" si="75"/>
        <v>5.8995013464481114E-4</v>
      </c>
      <c r="I203" s="186">
        <f t="shared" si="70"/>
        <v>3.5379387159913887E-4</v>
      </c>
      <c r="J203" s="187">
        <f t="shared" si="55"/>
        <v>3.467179941671561E-2</v>
      </c>
      <c r="K203" s="188">
        <f t="shared" si="74"/>
        <v>5.7815113195191489E-2</v>
      </c>
      <c r="L203" s="189">
        <f t="shared" ref="L203:L211" si="76">+J203-K203</f>
        <v>-2.314331377847588E-2</v>
      </c>
      <c r="M203" s="190">
        <f t="shared" si="56"/>
        <v>-1.6032786439716291E-3</v>
      </c>
      <c r="N203" s="191">
        <f t="shared" si="57"/>
        <v>-2.4746592422447509E-2</v>
      </c>
      <c r="O203" s="190">
        <f t="shared" si="58"/>
        <v>0</v>
      </c>
      <c r="P203" s="190">
        <f t="shared" si="59"/>
        <v>0</v>
      </c>
      <c r="Q203" s="190">
        <v>0</v>
      </c>
      <c r="R203" s="191">
        <f t="shared" si="60"/>
        <v>-2.4746592422447509E-2</v>
      </c>
    </row>
    <row r="204" spans="1:18" x14ac:dyDescent="0.25">
      <c r="A204" s="148">
        <v>5</v>
      </c>
      <c r="B204" s="183">
        <f t="shared" si="54"/>
        <v>45047</v>
      </c>
      <c r="C204" s="203">
        <f t="shared" si="71"/>
        <v>45082</v>
      </c>
      <c r="D204" s="203">
        <f t="shared" si="71"/>
        <v>45103</v>
      </c>
      <c r="E204" s="52" t="s">
        <v>17</v>
      </c>
      <c r="F204" s="148">
        <v>9</v>
      </c>
      <c r="G204" s="185">
        <v>105</v>
      </c>
      <c r="H204" s="186">
        <f t="shared" si="75"/>
        <v>5.8995013464481114E-4</v>
      </c>
      <c r="I204" s="186">
        <f t="shared" si="70"/>
        <v>3.5379387159913887E-4</v>
      </c>
      <c r="J204" s="187">
        <f t="shared" si="55"/>
        <v>3.7148356517909584E-2</v>
      </c>
      <c r="K204" s="188">
        <f t="shared" si="74"/>
        <v>6.1944764137705173E-2</v>
      </c>
      <c r="L204" s="189">
        <f t="shared" si="76"/>
        <v>-2.4796407619795589E-2</v>
      </c>
      <c r="M204" s="190">
        <f t="shared" si="56"/>
        <v>-1.7177985471124599E-3</v>
      </c>
      <c r="N204" s="191">
        <f t="shared" si="57"/>
        <v>-2.6514206166908048E-2</v>
      </c>
      <c r="O204" s="190">
        <f t="shared" si="58"/>
        <v>0</v>
      </c>
      <c r="P204" s="190">
        <f t="shared" si="59"/>
        <v>0</v>
      </c>
      <c r="Q204" s="190">
        <v>0</v>
      </c>
      <c r="R204" s="191">
        <f t="shared" si="60"/>
        <v>-2.6514206166908048E-2</v>
      </c>
    </row>
    <row r="205" spans="1:18" x14ac:dyDescent="0.25">
      <c r="A205" s="148">
        <v>6</v>
      </c>
      <c r="B205" s="183">
        <f t="shared" si="54"/>
        <v>45078</v>
      </c>
      <c r="C205" s="203">
        <f t="shared" si="71"/>
        <v>45112</v>
      </c>
      <c r="D205" s="203">
        <f t="shared" si="71"/>
        <v>45131</v>
      </c>
      <c r="E205" s="52" t="s">
        <v>17</v>
      </c>
      <c r="F205" s="148">
        <v>9</v>
      </c>
      <c r="G205" s="185">
        <v>115</v>
      </c>
      <c r="H205" s="186">
        <f t="shared" si="75"/>
        <v>5.8995013464481114E-4</v>
      </c>
      <c r="I205" s="186">
        <f t="shared" si="70"/>
        <v>3.5379387159913887E-4</v>
      </c>
      <c r="J205" s="187">
        <f t="shared" si="55"/>
        <v>4.0686295233900972E-2</v>
      </c>
      <c r="K205" s="188">
        <f t="shared" si="74"/>
        <v>6.7844265484153288E-2</v>
      </c>
      <c r="L205" s="193">
        <f t="shared" si="76"/>
        <v>-2.7157970250252315E-2</v>
      </c>
      <c r="M205" s="190">
        <f t="shared" si="56"/>
        <v>-1.8813984087422179E-3</v>
      </c>
      <c r="N205" s="191">
        <f t="shared" si="57"/>
        <v>-2.9039368658994532E-2</v>
      </c>
      <c r="O205" s="190">
        <f t="shared" si="58"/>
        <v>0</v>
      </c>
      <c r="P205" s="190">
        <f t="shared" si="59"/>
        <v>0</v>
      </c>
      <c r="Q205" s="190">
        <v>0</v>
      </c>
      <c r="R205" s="191">
        <f t="shared" si="60"/>
        <v>-2.9039368658994532E-2</v>
      </c>
    </row>
    <row r="206" spans="1:18" x14ac:dyDescent="0.25">
      <c r="A206" s="111">
        <v>7</v>
      </c>
      <c r="B206" s="183">
        <f t="shared" si="54"/>
        <v>45108</v>
      </c>
      <c r="C206" s="203">
        <f t="shared" si="71"/>
        <v>45141</v>
      </c>
      <c r="D206" s="203">
        <f t="shared" si="71"/>
        <v>45162</v>
      </c>
      <c r="E206" s="52" t="s">
        <v>17</v>
      </c>
      <c r="F206" s="148">
        <v>9</v>
      </c>
      <c r="G206" s="185">
        <v>110</v>
      </c>
      <c r="H206" s="186">
        <f t="shared" si="75"/>
        <v>5.8995013464481114E-4</v>
      </c>
      <c r="I206" s="186">
        <f t="shared" si="70"/>
        <v>3.5379387159913887E-4</v>
      </c>
      <c r="J206" s="187">
        <f t="shared" si="55"/>
        <v>3.8917325875905275E-2</v>
      </c>
      <c r="K206" s="194">
        <f t="shared" si="74"/>
        <v>6.4894514810929227E-2</v>
      </c>
      <c r="L206" s="193">
        <f t="shared" si="76"/>
        <v>-2.5977188935023952E-2</v>
      </c>
      <c r="M206" s="190">
        <f t="shared" si="56"/>
        <v>-1.7995984779273391E-3</v>
      </c>
      <c r="N206" s="191">
        <f t="shared" si="57"/>
        <v>-2.7776787412951292E-2</v>
      </c>
      <c r="O206" s="190">
        <f t="shared" si="58"/>
        <v>0</v>
      </c>
      <c r="P206" s="190">
        <f t="shared" si="59"/>
        <v>0</v>
      </c>
      <c r="Q206" s="190">
        <v>0</v>
      </c>
      <c r="R206" s="191">
        <f t="shared" si="60"/>
        <v>-2.7776787412951292E-2</v>
      </c>
    </row>
    <row r="207" spans="1:18" x14ac:dyDescent="0.25">
      <c r="A207" s="148">
        <v>8</v>
      </c>
      <c r="B207" s="183">
        <f t="shared" si="54"/>
        <v>45139</v>
      </c>
      <c r="C207" s="203">
        <f t="shared" si="71"/>
        <v>45174</v>
      </c>
      <c r="D207" s="203">
        <f t="shared" si="71"/>
        <v>45194</v>
      </c>
      <c r="E207" s="52" t="s">
        <v>17</v>
      </c>
      <c r="F207" s="148">
        <v>9</v>
      </c>
      <c r="G207" s="185">
        <v>109</v>
      </c>
      <c r="H207" s="186">
        <f t="shared" si="75"/>
        <v>5.8995013464481114E-4</v>
      </c>
      <c r="I207" s="186">
        <f t="shared" si="70"/>
        <v>3.5379387159913887E-4</v>
      </c>
      <c r="J207" s="187">
        <f t="shared" si="55"/>
        <v>3.8563532004306136E-2</v>
      </c>
      <c r="K207" s="194">
        <f t="shared" si="74"/>
        <v>6.4304564676284412E-2</v>
      </c>
      <c r="L207" s="193">
        <f t="shared" si="76"/>
        <v>-2.5741032671978276E-2</v>
      </c>
      <c r="M207" s="190">
        <f t="shared" si="56"/>
        <v>-1.7832384917643631E-3</v>
      </c>
      <c r="N207" s="191">
        <f t="shared" si="57"/>
        <v>-2.752427116374264E-2</v>
      </c>
      <c r="O207" s="190">
        <f t="shared" si="58"/>
        <v>0</v>
      </c>
      <c r="P207" s="190">
        <f t="shared" si="59"/>
        <v>0</v>
      </c>
      <c r="Q207" s="190">
        <v>0</v>
      </c>
      <c r="R207" s="191">
        <f t="shared" si="60"/>
        <v>-2.752427116374264E-2</v>
      </c>
    </row>
    <row r="208" spans="1:18" x14ac:dyDescent="0.25">
      <c r="A208" s="148">
        <v>9</v>
      </c>
      <c r="B208" s="183">
        <f t="shared" si="54"/>
        <v>45170</v>
      </c>
      <c r="C208" s="203">
        <f t="shared" si="71"/>
        <v>45203</v>
      </c>
      <c r="D208" s="203">
        <f t="shared" si="71"/>
        <v>45223</v>
      </c>
      <c r="E208" s="52" t="s">
        <v>17</v>
      </c>
      <c r="F208" s="148">
        <v>9</v>
      </c>
      <c r="G208" s="185">
        <v>112</v>
      </c>
      <c r="H208" s="186">
        <f t="shared" si="75"/>
        <v>5.8995013464481114E-4</v>
      </c>
      <c r="I208" s="186">
        <f t="shared" si="70"/>
        <v>3.5379387159913887E-4</v>
      </c>
      <c r="J208" s="187">
        <f t="shared" si="55"/>
        <v>3.9624913619103551E-2</v>
      </c>
      <c r="K208" s="194">
        <f t="shared" si="74"/>
        <v>6.6074415080218843E-2</v>
      </c>
      <c r="L208" s="193">
        <f t="shared" si="76"/>
        <v>-2.6449501461115292E-2</v>
      </c>
      <c r="M208" s="190">
        <f t="shared" si="56"/>
        <v>-1.8323184502532907E-3</v>
      </c>
      <c r="N208" s="191">
        <f t="shared" si="57"/>
        <v>-2.8281819911368584E-2</v>
      </c>
      <c r="O208" s="190">
        <f t="shared" si="58"/>
        <v>0</v>
      </c>
      <c r="P208" s="190">
        <f t="shared" si="59"/>
        <v>0</v>
      </c>
      <c r="Q208" s="190">
        <v>0</v>
      </c>
      <c r="R208" s="191">
        <f t="shared" si="60"/>
        <v>-2.8281819911368584E-2</v>
      </c>
    </row>
    <row r="209" spans="1:18" x14ac:dyDescent="0.25">
      <c r="A209" s="111">
        <v>10</v>
      </c>
      <c r="B209" s="183">
        <f t="shared" si="54"/>
        <v>45200</v>
      </c>
      <c r="C209" s="203">
        <f t="shared" si="71"/>
        <v>45233</v>
      </c>
      <c r="D209" s="203">
        <f t="shared" si="71"/>
        <v>45254</v>
      </c>
      <c r="E209" s="52" t="s">
        <v>17</v>
      </c>
      <c r="F209" s="148">
        <v>9</v>
      </c>
      <c r="G209" s="185">
        <v>107</v>
      </c>
      <c r="H209" s="186">
        <f t="shared" si="75"/>
        <v>5.8995013464481114E-4</v>
      </c>
      <c r="I209" s="186">
        <f t="shared" si="70"/>
        <v>3.5379387159913887E-4</v>
      </c>
      <c r="J209" s="187">
        <f t="shared" si="55"/>
        <v>3.785594426110786E-2</v>
      </c>
      <c r="K209" s="194">
        <f t="shared" si="74"/>
        <v>6.3124664406994796E-2</v>
      </c>
      <c r="L209" s="193">
        <f t="shared" si="76"/>
        <v>-2.5268720145886936E-2</v>
      </c>
      <c r="M209" s="190">
        <f t="shared" si="56"/>
        <v>-1.7505185194384115E-3</v>
      </c>
      <c r="N209" s="191">
        <f t="shared" si="57"/>
        <v>-2.7019238665325348E-2</v>
      </c>
      <c r="O209" s="190">
        <f t="shared" si="58"/>
        <v>0</v>
      </c>
      <c r="P209" s="190">
        <f t="shared" si="59"/>
        <v>0</v>
      </c>
      <c r="Q209" s="190">
        <v>0</v>
      </c>
      <c r="R209" s="191">
        <f t="shared" si="60"/>
        <v>-2.7019238665325348E-2</v>
      </c>
    </row>
    <row r="210" spans="1:18" x14ac:dyDescent="0.25">
      <c r="A210" s="148">
        <v>11</v>
      </c>
      <c r="B210" s="183">
        <f t="shared" si="54"/>
        <v>45231</v>
      </c>
      <c r="C210" s="203">
        <f t="shared" si="71"/>
        <v>45266</v>
      </c>
      <c r="D210" s="203">
        <f t="shared" si="71"/>
        <v>45285</v>
      </c>
      <c r="E210" s="52" t="s">
        <v>17</v>
      </c>
      <c r="F210" s="148">
        <v>9</v>
      </c>
      <c r="G210" s="185">
        <v>104</v>
      </c>
      <c r="H210" s="186">
        <f t="shared" si="75"/>
        <v>5.8995013464481114E-4</v>
      </c>
      <c r="I210" s="186">
        <f t="shared" si="70"/>
        <v>3.5379387159913887E-4</v>
      </c>
      <c r="J210" s="187">
        <f t="shared" si="55"/>
        <v>3.6794562646310446E-2</v>
      </c>
      <c r="K210" s="194">
        <f>+$G210*H210</f>
        <v>6.1354814003060358E-2</v>
      </c>
      <c r="L210" s="193">
        <f t="shared" si="76"/>
        <v>-2.4560251356749913E-2</v>
      </c>
      <c r="M210" s="190">
        <f t="shared" si="56"/>
        <v>-1.7014385609494839E-3</v>
      </c>
      <c r="N210" s="191">
        <f t="shared" si="57"/>
        <v>-2.6261689917699397E-2</v>
      </c>
      <c r="O210" s="190">
        <f t="shared" si="58"/>
        <v>0</v>
      </c>
      <c r="P210" s="190">
        <f t="shared" si="59"/>
        <v>0</v>
      </c>
      <c r="Q210" s="190">
        <v>0</v>
      </c>
      <c r="R210" s="191">
        <f t="shared" si="60"/>
        <v>-2.6261689917699397E-2</v>
      </c>
    </row>
    <row r="211" spans="1:18" s="207" customFormat="1" x14ac:dyDescent="0.25">
      <c r="A211" s="148">
        <v>12</v>
      </c>
      <c r="B211" s="205">
        <f t="shared" si="54"/>
        <v>45261</v>
      </c>
      <c r="C211" s="208">
        <f t="shared" si="71"/>
        <v>45294</v>
      </c>
      <c r="D211" s="208">
        <f t="shared" si="71"/>
        <v>45315</v>
      </c>
      <c r="E211" s="206" t="s">
        <v>17</v>
      </c>
      <c r="F211" s="159">
        <v>9</v>
      </c>
      <c r="G211" s="185">
        <v>101</v>
      </c>
      <c r="H211" s="195">
        <f t="shared" si="75"/>
        <v>5.8995013464481114E-4</v>
      </c>
      <c r="I211" s="195">
        <f t="shared" si="70"/>
        <v>3.5379387159913887E-4</v>
      </c>
      <c r="J211" s="196">
        <f t="shared" si="55"/>
        <v>3.5733181031513024E-2</v>
      </c>
      <c r="K211" s="197">
        <f>+$G211*H211</f>
        <v>5.9584963599125927E-2</v>
      </c>
      <c r="L211" s="198">
        <f t="shared" si="76"/>
        <v>-2.3851782567612903E-2</v>
      </c>
      <c r="M211" s="196">
        <f t="shared" si="56"/>
        <v>-1.6523586024605567E-3</v>
      </c>
      <c r="N211" s="191">
        <f t="shared" si="57"/>
        <v>-2.550414117007346E-2</v>
      </c>
      <c r="O211" s="196">
        <f t="shared" si="58"/>
        <v>0</v>
      </c>
      <c r="P211" s="213">
        <f t="shared" si="59"/>
        <v>0</v>
      </c>
      <c r="Q211" s="190">
        <v>0</v>
      </c>
      <c r="R211" s="191">
        <f t="shared" si="60"/>
        <v>-2.550414117007346E-2</v>
      </c>
    </row>
    <row r="212" spans="1:18" x14ac:dyDescent="0.25">
      <c r="G212" s="214">
        <f>SUM(G20:G211)</f>
        <v>102178</v>
      </c>
      <c r="H212" s="49"/>
      <c r="I212" s="49"/>
      <c r="J212" s="49">
        <f>SUM(J20:J211)</f>
        <v>36.14995021225684</v>
      </c>
      <c r="K212" s="49">
        <f>SUM(K20:K211)</f>
        <v>60.279924857737512</v>
      </c>
      <c r="L212" s="49">
        <f>SUM(L20:L211)</f>
        <v>-24.129974645480697</v>
      </c>
      <c r="M212" s="49">
        <f>SUM(M20:M211)</f>
        <v>-1.6716306661605422</v>
      </c>
      <c r="N212" s="49"/>
      <c r="O212" s="49"/>
      <c r="P212" s="49">
        <f>SUM(P20:P211)</f>
        <v>0</v>
      </c>
      <c r="Q212" s="49"/>
      <c r="R212" s="215">
        <f>SUM(R20:R211)</f>
        <v>-25.801605311641225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TowM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DoyMi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F6FA9DFA-5C72-40DC-AE3F-0714747E267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AB804AF-2A81-47A0-9EE5-CCA5B49AA80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2023-05-25T12:05:25Z</cp:lastPrinted>
  <dcterms:created xsi:type="dcterms:W3CDTF">2009-09-04T18:19:13Z</dcterms:created>
  <dcterms:modified xsi:type="dcterms:W3CDTF">2024-05-24T13:53:27Z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90b7da01-4088-436e-908a-f2401c1a030d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{F6FA9DFA-5C72-40DC-AE3F-0714747E2677}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